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НС\Desktop\СМИ на 01.03.2024г\"/>
    </mc:Choice>
  </mc:AlternateContent>
  <xr:revisionPtr revIDLastSave="0" documentId="13_ncr:1_{A00FAD8D-263C-4ED4-971F-02A7CE5EC5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1.03.2024 " sheetId="10" r:id="rId1"/>
  </sheets>
  <definedNames>
    <definedName name="_xlnm._FilterDatabase" localSheetId="0" hidden="1">'01.03.2024 '!$A$6:$G$1589</definedName>
    <definedName name="_xlnm.Print_Titles" localSheetId="0">'01.03.2024 '!$3:$4</definedName>
    <definedName name="_xlnm.Print_Area" localSheetId="0">'01.03.2024 '!$A$1:$E$2891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84" i="10" l="1"/>
  <c r="D2884" i="10"/>
  <c r="E1883" i="10"/>
  <c r="D1883" i="10"/>
  <c r="D1863" i="10"/>
  <c r="D1862" i="10"/>
  <c r="D1861" i="10"/>
  <c r="D1860" i="10"/>
  <c r="D1859" i="10"/>
  <c r="D1858" i="10"/>
  <c r="D1857" i="10"/>
  <c r="D1856" i="10"/>
  <c r="D1855" i="10"/>
  <c r="D1854" i="10"/>
  <c r="D1853" i="10"/>
  <c r="D1852" i="10"/>
  <c r="D1851" i="10"/>
  <c r="D1850" i="10"/>
  <c r="D1849" i="10"/>
  <c r="D1848" i="10"/>
  <c r="D1847" i="10"/>
  <c r="D1846" i="10"/>
  <c r="D1845" i="10"/>
  <c r="D1844" i="10"/>
  <c r="D1843" i="10"/>
  <c r="D1842" i="10"/>
  <c r="D1877" i="10"/>
  <c r="D1876" i="10"/>
  <c r="D1875" i="10"/>
  <c r="D1874" i="10"/>
  <c r="D1873" i="10"/>
  <c r="D1872" i="10"/>
  <c r="D1871" i="10"/>
  <c r="D1870" i="10"/>
  <c r="D1869" i="10"/>
  <c r="D1868" i="10"/>
  <c r="D1867" i="10"/>
  <c r="D1866" i="10"/>
  <c r="D1865" i="10"/>
  <c r="D1864" i="10"/>
  <c r="D1841" i="10"/>
  <c r="D1840" i="10"/>
  <c r="D1839" i="10"/>
  <c r="D1838" i="10"/>
  <c r="D1837" i="10"/>
  <c r="D1836" i="10"/>
  <c r="D1835" i="10"/>
  <c r="D1834" i="10"/>
  <c r="D1833" i="10"/>
  <c r="D1832" i="10"/>
  <c r="D1831" i="10"/>
  <c r="D1830" i="10"/>
  <c r="D1829" i="10"/>
  <c r="D1828" i="10"/>
  <c r="D1827" i="10"/>
  <c r="D1826" i="10"/>
  <c r="D1825" i="10"/>
  <c r="D1824" i="10"/>
  <c r="D1823" i="10"/>
  <c r="E1821" i="10"/>
  <c r="D1815" i="10"/>
  <c r="D1814" i="10"/>
  <c r="D1813" i="10"/>
  <c r="D1812" i="10"/>
  <c r="D1811" i="10"/>
  <c r="D1810" i="10"/>
  <c r="D1809" i="10"/>
  <c r="D1808" i="10"/>
  <c r="D1807" i="10"/>
  <c r="D1806" i="10"/>
  <c r="D1817" i="10"/>
  <c r="D1816" i="10"/>
  <c r="D1818" i="10"/>
  <c r="D1805" i="10"/>
  <c r="D1804" i="10"/>
  <c r="D1803" i="10"/>
  <c r="D1802" i="10"/>
  <c r="D1801" i="10"/>
  <c r="D1800" i="10"/>
  <c r="D1799" i="10"/>
  <c r="D1798" i="10"/>
  <c r="E1914" i="10"/>
  <c r="D1911" i="10"/>
  <c r="D1910" i="10"/>
  <c r="D1909" i="10"/>
  <c r="D1908" i="10"/>
  <c r="D1907" i="10"/>
  <c r="D1906" i="10"/>
  <c r="D1905" i="10"/>
  <c r="D1904" i="10"/>
  <c r="D1903" i="10"/>
  <c r="D1902" i="10"/>
  <c r="D1901" i="10"/>
  <c r="D1900" i="10"/>
  <c r="D1899" i="10"/>
  <c r="D1898" i="10"/>
  <c r="D1897" i="10"/>
  <c r="D1896" i="10"/>
  <c r="D1895" i="10"/>
  <c r="D1894" i="10"/>
  <c r="D1893" i="10"/>
  <c r="D1892" i="10"/>
  <c r="D1891" i="10"/>
  <c r="D1890" i="10"/>
  <c r="D1889" i="10"/>
  <c r="D1888" i="10"/>
  <c r="D1887" i="10"/>
  <c r="D1886" i="10"/>
  <c r="D1885" i="10"/>
  <c r="E1785" i="10"/>
  <c r="D1775" i="10"/>
  <c r="D1774" i="10"/>
  <c r="D1773" i="10"/>
  <c r="D1772" i="10"/>
  <c r="D1771" i="10"/>
  <c r="D1770" i="10"/>
  <c r="D1769" i="10"/>
  <c r="D1768" i="10"/>
  <c r="D1767" i="10"/>
  <c r="D1766" i="10"/>
  <c r="D1765" i="10"/>
  <c r="D1764" i="10"/>
  <c r="D1763" i="10"/>
  <c r="D1762" i="10"/>
  <c r="D1761" i="10"/>
  <c r="D1760" i="10"/>
  <c r="D1759" i="10"/>
  <c r="D1758" i="10"/>
  <c r="D1757" i="10"/>
  <c r="D1756" i="10"/>
  <c r="D1755" i="10"/>
  <c r="D1754" i="10"/>
  <c r="D1753" i="10"/>
  <c r="D1752" i="10"/>
  <c r="D1751" i="10"/>
  <c r="D1750" i="10"/>
  <c r="D1749" i="10"/>
  <c r="D1748" i="10"/>
  <c r="D1747" i="10"/>
  <c r="D1746" i="10"/>
  <c r="D1745" i="10"/>
  <c r="D1744" i="10"/>
  <c r="D1743" i="10"/>
  <c r="D1742" i="10"/>
  <c r="D1741" i="10"/>
  <c r="D1740" i="10"/>
  <c r="D1739" i="10"/>
  <c r="D1738" i="10"/>
  <c r="D1737" i="10"/>
  <c r="D1736" i="10"/>
  <c r="D1735" i="10"/>
  <c r="D1734" i="10"/>
  <c r="D1733" i="10"/>
  <c r="D1732" i="10"/>
  <c r="D1731" i="10"/>
  <c r="D1730" i="10"/>
  <c r="D1729" i="10"/>
  <c r="D1728" i="10"/>
  <c r="D1727" i="10"/>
  <c r="E2003" i="10"/>
  <c r="D1996" i="10"/>
  <c r="D1995" i="10"/>
  <c r="D1994" i="10"/>
  <c r="D1993" i="10"/>
  <c r="D1992" i="10"/>
  <c r="D1991" i="10"/>
  <c r="D1990" i="10"/>
  <c r="D1989" i="10"/>
  <c r="D1988" i="10"/>
  <c r="D1987" i="10"/>
  <c r="D1986" i="10"/>
  <c r="D1985" i="10"/>
  <c r="D1984" i="10"/>
  <c r="D1983" i="10"/>
  <c r="D1982" i="10"/>
  <c r="D1981" i="10"/>
  <c r="D1980" i="10"/>
  <c r="D1979" i="10"/>
  <c r="E1923" i="10"/>
  <c r="D1921" i="10"/>
  <c r="D1920" i="10"/>
  <c r="D1919" i="10"/>
  <c r="D1918" i="10"/>
  <c r="D1917" i="10"/>
  <c r="D1916" i="10"/>
  <c r="D1821" i="10" l="1"/>
  <c r="D1914" i="10"/>
  <c r="D1785" i="10"/>
  <c r="D2003" i="10"/>
  <c r="D1923" i="10"/>
  <c r="E1977" i="10" l="1"/>
  <c r="D1963" i="10"/>
  <c r="D1964" i="10"/>
  <c r="D1965" i="10"/>
  <c r="D1966" i="10"/>
  <c r="D1967" i="10"/>
  <c r="D1968" i="10"/>
  <c r="D1969" i="10"/>
  <c r="D1970" i="10"/>
  <c r="D1962" i="10"/>
  <c r="D1961" i="10"/>
  <c r="D1960" i="10"/>
  <c r="D1959" i="10"/>
  <c r="D1958" i="10"/>
  <c r="D1957" i="10"/>
  <c r="D1956" i="10"/>
  <c r="D1955" i="10"/>
  <c r="D1954" i="10"/>
  <c r="D1953" i="10"/>
  <c r="D1952" i="10"/>
  <c r="D1951" i="10"/>
  <c r="D1950" i="10"/>
  <c r="D1949" i="10"/>
  <c r="D1948" i="10"/>
  <c r="D1947" i="10"/>
  <c r="D1946" i="10"/>
  <c r="D1945" i="10"/>
  <c r="D1944" i="10"/>
  <c r="D1943" i="10"/>
  <c r="D1942" i="10"/>
  <c r="D1941" i="10"/>
  <c r="D1940" i="10"/>
  <c r="D1939" i="10"/>
  <c r="D1938" i="10"/>
  <c r="D1937" i="10"/>
  <c r="D1936" i="10"/>
  <c r="D1935" i="10"/>
  <c r="D1934" i="10"/>
  <c r="D1933" i="10"/>
  <c r="D1932" i="10"/>
  <c r="D1931" i="10"/>
  <c r="D1930" i="10"/>
  <c r="D1929" i="10"/>
  <c r="D1928" i="10"/>
  <c r="D1927" i="10"/>
  <c r="D1926" i="10"/>
  <c r="D1925" i="10"/>
  <c r="D1977" i="10" l="1"/>
  <c r="E1725" i="10"/>
  <c r="D1666" i="10"/>
  <c r="D1665" i="10"/>
  <c r="D1664" i="10"/>
  <c r="D1663" i="10"/>
  <c r="D1662" i="10"/>
  <c r="D1661" i="10"/>
  <c r="D1660" i="10"/>
  <c r="D1659" i="10"/>
  <c r="D1658" i="10"/>
  <c r="D1657" i="10"/>
  <c r="D1656" i="10"/>
  <c r="D1655" i="10"/>
  <c r="D1654" i="10"/>
  <c r="D1653" i="10"/>
  <c r="D1652" i="10"/>
  <c r="D1651" i="10"/>
  <c r="D1684" i="10"/>
  <c r="D1683" i="10"/>
  <c r="D1682" i="10"/>
  <c r="D1681" i="10"/>
  <c r="D1680" i="10"/>
  <c r="D1679" i="10"/>
  <c r="D1678" i="10"/>
  <c r="D1677" i="10"/>
  <c r="D1676" i="10"/>
  <c r="D1675" i="10"/>
  <c r="D1674" i="10"/>
  <c r="D1673" i="10"/>
  <c r="D1672" i="10"/>
  <c r="D1671" i="10"/>
  <c r="D1670" i="10"/>
  <c r="D1669" i="10"/>
  <c r="D1668" i="10"/>
  <c r="D1667" i="10"/>
  <c r="D1701" i="10"/>
  <c r="D1700" i="10"/>
  <c r="D1699" i="10"/>
  <c r="D1698" i="10"/>
  <c r="D1697" i="10"/>
  <c r="D1696" i="10"/>
  <c r="D1695" i="10"/>
  <c r="D1694" i="10"/>
  <c r="D1693" i="10"/>
  <c r="D1692" i="10"/>
  <c r="D1691" i="10"/>
  <c r="D1690" i="10"/>
  <c r="D1689" i="10"/>
  <c r="D1688" i="10"/>
  <c r="D1687" i="10"/>
  <c r="D1686" i="10"/>
  <c r="D1685" i="10"/>
  <c r="D1713" i="10"/>
  <c r="D1712" i="10"/>
  <c r="D1711" i="10"/>
  <c r="D1710" i="10"/>
  <c r="D1709" i="10"/>
  <c r="D1708" i="10"/>
  <c r="D1707" i="10"/>
  <c r="D1706" i="10"/>
  <c r="D1705" i="10"/>
  <c r="D1704" i="10"/>
  <c r="D1703" i="10"/>
  <c r="D1702" i="10"/>
  <c r="D1716" i="10"/>
  <c r="D1715" i="10"/>
  <c r="D1714" i="10"/>
  <c r="D1717" i="10"/>
  <c r="D1650" i="10"/>
  <c r="D1649" i="10"/>
  <c r="D1648" i="10"/>
  <c r="D1647" i="10"/>
  <c r="D1646" i="10"/>
  <c r="D1645" i="10"/>
  <c r="D1644" i="10"/>
  <c r="D1643" i="10"/>
  <c r="D1642" i="10"/>
  <c r="D1641" i="10"/>
  <c r="D1640" i="10"/>
  <c r="D1639" i="10"/>
  <c r="D1638" i="10"/>
  <c r="D1637" i="10"/>
  <c r="D1636" i="10"/>
  <c r="D1635" i="10"/>
  <c r="D1634" i="10"/>
  <c r="D1633" i="10"/>
  <c r="D1632" i="10"/>
  <c r="D1631" i="10"/>
  <c r="D1630" i="10"/>
  <c r="D1629" i="10"/>
  <c r="D1628" i="10"/>
  <c r="D1627" i="10"/>
  <c r="D1626" i="10"/>
  <c r="D1625" i="10"/>
  <c r="D1624" i="10"/>
  <c r="D1623" i="10"/>
  <c r="D1622" i="10"/>
  <c r="D1621" i="10"/>
  <c r="D1620" i="10"/>
  <c r="D1619" i="10"/>
  <c r="D1618" i="10"/>
  <c r="D1617" i="10"/>
  <c r="D1616" i="10"/>
  <c r="D1725" i="10" l="1"/>
  <c r="E1796" i="10"/>
  <c r="D1794" i="10"/>
  <c r="D1793" i="10"/>
  <c r="D1792" i="10"/>
  <c r="D1791" i="10"/>
  <c r="D1790" i="10"/>
  <c r="D1789" i="10"/>
  <c r="D1788" i="10"/>
  <c r="D1787" i="10"/>
  <c r="D1796" i="10" l="1"/>
  <c r="E1614" i="10"/>
  <c r="D1613" i="10"/>
  <c r="D1612" i="10"/>
  <c r="D1611" i="10"/>
  <c r="D1614" i="10" l="1"/>
  <c r="E1609" i="10"/>
  <c r="D1600" i="10"/>
  <c r="D1599" i="10"/>
  <c r="D1595" i="10"/>
  <c r="D1601" i="10"/>
  <c r="D1602" i="10"/>
  <c r="D1603" i="10"/>
  <c r="D1604" i="10"/>
  <c r="D1605" i="10"/>
  <c r="D1606" i="10"/>
  <c r="D1598" i="10"/>
  <c r="D1597" i="10"/>
  <c r="D1596" i="10"/>
  <c r="D1594" i="10"/>
  <c r="D1593" i="10"/>
  <c r="D1609" i="10" l="1"/>
  <c r="E2490" i="10"/>
  <c r="D2380" i="10"/>
  <c r="D2379" i="10"/>
  <c r="D2378" i="10"/>
  <c r="D2377" i="10"/>
  <c r="D2376" i="10"/>
  <c r="D2375" i="10"/>
  <c r="D2374" i="10"/>
  <c r="D2373" i="10"/>
  <c r="D2372" i="10"/>
  <c r="D2371" i="10"/>
  <c r="D2370" i="10"/>
  <c r="D2369" i="10"/>
  <c r="D2368" i="10"/>
  <c r="D2367" i="10"/>
  <c r="D2395" i="10"/>
  <c r="D2394" i="10"/>
  <c r="D2393" i="10"/>
  <c r="D2392" i="10"/>
  <c r="D2391" i="10"/>
  <c r="D2390" i="10"/>
  <c r="D2389" i="10"/>
  <c r="D2388" i="10"/>
  <c r="D2387" i="10"/>
  <c r="D2386" i="10"/>
  <c r="D2385" i="10"/>
  <c r="D2384" i="10"/>
  <c r="D2383" i="10"/>
  <c r="D2382" i="10"/>
  <c r="D2381" i="10"/>
  <c r="D2366" i="10"/>
  <c r="D2365" i="10"/>
  <c r="D2364" i="10"/>
  <c r="D2363" i="10"/>
  <c r="D2362" i="10"/>
  <c r="D2361" i="10"/>
  <c r="D2360" i="10"/>
  <c r="D2359" i="10"/>
  <c r="D2358" i="10"/>
  <c r="D2357" i="10"/>
  <c r="D2356" i="10"/>
  <c r="D2355" i="10"/>
  <c r="D2409" i="10"/>
  <c r="D2408" i="10"/>
  <c r="D2407" i="10"/>
  <c r="D2406" i="10"/>
  <c r="D2405" i="10"/>
  <c r="D2404" i="10"/>
  <c r="D2403" i="10"/>
  <c r="D2402" i="10"/>
  <c r="D2401" i="10"/>
  <c r="D2400" i="10"/>
  <c r="D2399" i="10"/>
  <c r="D2398" i="10"/>
  <c r="D2397" i="10"/>
  <c r="D2396" i="10"/>
  <c r="D2427" i="10"/>
  <c r="D2426" i="10"/>
  <c r="D2425" i="10"/>
  <c r="D2424" i="10"/>
  <c r="D2423" i="10"/>
  <c r="D2422" i="10"/>
  <c r="D2421" i="10"/>
  <c r="D2420" i="10"/>
  <c r="D2419" i="10"/>
  <c r="D2418" i="10"/>
  <c r="D2417" i="10"/>
  <c r="D2416" i="10"/>
  <c r="D2415" i="10"/>
  <c r="D2414" i="10"/>
  <c r="D2413" i="10"/>
  <c r="D2412" i="10"/>
  <c r="D2411" i="10"/>
  <c r="D2410" i="10"/>
  <c r="D2443" i="10"/>
  <c r="D2442" i="10"/>
  <c r="D2441" i="10"/>
  <c r="D2440" i="10"/>
  <c r="D2439" i="10"/>
  <c r="D2438" i="10"/>
  <c r="D2437" i="10"/>
  <c r="D2436" i="10"/>
  <c r="D2435" i="10"/>
  <c r="D2434" i="10"/>
  <c r="D2433" i="10"/>
  <c r="D2432" i="10"/>
  <c r="D2431" i="10"/>
  <c r="D2430" i="10"/>
  <c r="D2429" i="10"/>
  <c r="D2428" i="10"/>
  <c r="D2354" i="10"/>
  <c r="D2353" i="10"/>
  <c r="D2352" i="10"/>
  <c r="D2461" i="10" l="1"/>
  <c r="D2460" i="10"/>
  <c r="D2459" i="10"/>
  <c r="D2458" i="10"/>
  <c r="D2457" i="10"/>
  <c r="D2456" i="10"/>
  <c r="D2455" i="10"/>
  <c r="D2454" i="10"/>
  <c r="D2453" i="10"/>
  <c r="D2452" i="10"/>
  <c r="D2451" i="10"/>
  <c r="D2450" i="10"/>
  <c r="D2449" i="10"/>
  <c r="D2448" i="10"/>
  <c r="D2447" i="10"/>
  <c r="D2446" i="10"/>
  <c r="D2445" i="10"/>
  <c r="D2444" i="10"/>
  <c r="D2351" i="10"/>
  <c r="D2350" i="10"/>
  <c r="D2349" i="10"/>
  <c r="D2348" i="10"/>
  <c r="D2347" i="10"/>
  <c r="D2346" i="10"/>
  <c r="D2345" i="10"/>
  <c r="D2344" i="10"/>
  <c r="D2343" i="10"/>
  <c r="D2342" i="10"/>
  <c r="D2341" i="10"/>
  <c r="D2340" i="10"/>
  <c r="D2339" i="10"/>
  <c r="D2338" i="10"/>
  <c r="D2337" i="10"/>
  <c r="D2336" i="10"/>
  <c r="D2483" i="10"/>
  <c r="D2482" i="10"/>
  <c r="D2481" i="10"/>
  <c r="D2480" i="10"/>
  <c r="D2479" i="10"/>
  <c r="D2478" i="10"/>
  <c r="D2477" i="10"/>
  <c r="D2476" i="10"/>
  <c r="D2475" i="10"/>
  <c r="D2474" i="10"/>
  <c r="D2473" i="10"/>
  <c r="D2472" i="10"/>
  <c r="D2471" i="10"/>
  <c r="D2470" i="10"/>
  <c r="D2469" i="10"/>
  <c r="D2468" i="10"/>
  <c r="D2467" i="10"/>
  <c r="D2466" i="10"/>
  <c r="D2465" i="10"/>
  <c r="D2464" i="10"/>
  <c r="D2463" i="10"/>
  <c r="D2462" i="10"/>
  <c r="D2484" i="10"/>
  <c r="E2581" i="10"/>
  <c r="D2580" i="10"/>
  <c r="D2581" i="10" s="1"/>
  <c r="E2495" i="10"/>
  <c r="D2494" i="10"/>
  <c r="D2493" i="10"/>
  <c r="D2492" i="10"/>
  <c r="E2334" i="10"/>
  <c r="D2331" i="10"/>
  <c r="D2330" i="10"/>
  <c r="D2329" i="10"/>
  <c r="D2328" i="10"/>
  <c r="D2327" i="10"/>
  <c r="D2326" i="10"/>
  <c r="D2325" i="10"/>
  <c r="D2324" i="10"/>
  <c r="E2556" i="10"/>
  <c r="D2534" i="10"/>
  <c r="D2533" i="10"/>
  <c r="D2532" i="10"/>
  <c r="D2531" i="10"/>
  <c r="D2530" i="10"/>
  <c r="D2529" i="10"/>
  <c r="D2528" i="10"/>
  <c r="D2527" i="10"/>
  <c r="D2526" i="10"/>
  <c r="D2525" i="10"/>
  <c r="D2524" i="10"/>
  <c r="D2523" i="10"/>
  <c r="D2522" i="10"/>
  <c r="D2521" i="10"/>
  <c r="D2520" i="10"/>
  <c r="D2519" i="10"/>
  <c r="D2518" i="10"/>
  <c r="D2548" i="10"/>
  <c r="D2547" i="10"/>
  <c r="D2546" i="10"/>
  <c r="D2545" i="10"/>
  <c r="D2544" i="10"/>
  <c r="D2543" i="10"/>
  <c r="D2542" i="10"/>
  <c r="D2541" i="10"/>
  <c r="D2540" i="10"/>
  <c r="D2539" i="10"/>
  <c r="D2538" i="10"/>
  <c r="D2537" i="10"/>
  <c r="D2536" i="10"/>
  <c r="D2535" i="10"/>
  <c r="D2549" i="10"/>
  <c r="D2550" i="10"/>
  <c r="D2517" i="10"/>
  <c r="D2516" i="10"/>
  <c r="D2515" i="10"/>
  <c r="D2514" i="10"/>
  <c r="D2513" i="10"/>
  <c r="D2512" i="10"/>
  <c r="D2511" i="10"/>
  <c r="D2510" i="10"/>
  <c r="D2509" i="10"/>
  <c r="D2508" i="10"/>
  <c r="D2507" i="10"/>
  <c r="D2506" i="10"/>
  <c r="D2505" i="10"/>
  <c r="D2504" i="10"/>
  <c r="D2503" i="10"/>
  <c r="D2502" i="10"/>
  <c r="D2501" i="10"/>
  <c r="D2500" i="10"/>
  <c r="D2499" i="10"/>
  <c r="D2498" i="10"/>
  <c r="D2497" i="10"/>
  <c r="E2578" i="10"/>
  <c r="D2574" i="10"/>
  <c r="D2573" i="10"/>
  <c r="D2572" i="10"/>
  <c r="D2571" i="10"/>
  <c r="D2570" i="10"/>
  <c r="D2569" i="10"/>
  <c r="D2568" i="10"/>
  <c r="D2567" i="10"/>
  <c r="D2566" i="10"/>
  <c r="D2565" i="10"/>
  <c r="D2576" i="10"/>
  <c r="D2575" i="10"/>
  <c r="D2577" i="10"/>
  <c r="D2564" i="10"/>
  <c r="D2563" i="10"/>
  <c r="D2562" i="10"/>
  <c r="D2561" i="10"/>
  <c r="D2560" i="10"/>
  <c r="D2559" i="10"/>
  <c r="D2558" i="10"/>
  <c r="D2621" i="10"/>
  <c r="E2619" i="10"/>
  <c r="D2618" i="10"/>
  <c r="D2617" i="10"/>
  <c r="D2616" i="10"/>
  <c r="D2615" i="10"/>
  <c r="D2614" i="10"/>
  <c r="D2613" i="10"/>
  <c r="D2612" i="10"/>
  <c r="D2611" i="10"/>
  <c r="D2610" i="10"/>
  <c r="D2609" i="10"/>
  <c r="D2608" i="10"/>
  <c r="D2607" i="10"/>
  <c r="D2606" i="10"/>
  <c r="D2605" i="10"/>
  <c r="D2604" i="10"/>
  <c r="D2603" i="10"/>
  <c r="D2602" i="10"/>
  <c r="D2601" i="10"/>
  <c r="D2600" i="10"/>
  <c r="D2599" i="10"/>
  <c r="D2598" i="10"/>
  <c r="D2597" i="10"/>
  <c r="D2596" i="10"/>
  <c r="D2595" i="10"/>
  <c r="D2594" i="10"/>
  <c r="D2593" i="10"/>
  <c r="D2592" i="10"/>
  <c r="D2591" i="10"/>
  <c r="D2590" i="10"/>
  <c r="D2589" i="10"/>
  <c r="D2588" i="10"/>
  <c r="D2587" i="10"/>
  <c r="D2586" i="10"/>
  <c r="D2585" i="10"/>
  <c r="D2584" i="10"/>
  <c r="D2583" i="10"/>
  <c r="E2819" i="10"/>
  <c r="D2797" i="10"/>
  <c r="D2796" i="10"/>
  <c r="D2795" i="10"/>
  <c r="D2794" i="10"/>
  <c r="D2793" i="10"/>
  <c r="D2792" i="10"/>
  <c r="D2791" i="10"/>
  <c r="D2790" i="10"/>
  <c r="D2789" i="10"/>
  <c r="D2788" i="10"/>
  <c r="D2787" i="10"/>
  <c r="D2786" i="10"/>
  <c r="D2785" i="10"/>
  <c r="D2784" i="10"/>
  <c r="D2817" i="10"/>
  <c r="D2816" i="10"/>
  <c r="D2815" i="10"/>
  <c r="D2814" i="10"/>
  <c r="D2813" i="10"/>
  <c r="D2812" i="10"/>
  <c r="D2811" i="10"/>
  <c r="D2810" i="10"/>
  <c r="D2809" i="10"/>
  <c r="D2808" i="10"/>
  <c r="D2807" i="10"/>
  <c r="D2806" i="10"/>
  <c r="D2805" i="10"/>
  <c r="D2804" i="10"/>
  <c r="D2803" i="10"/>
  <c r="D2802" i="10"/>
  <c r="D2801" i="10"/>
  <c r="D2800" i="10"/>
  <c r="D2799" i="10"/>
  <c r="D2798" i="10"/>
  <c r="D2781" i="10"/>
  <c r="D2783" i="10"/>
  <c r="D2782" i="10"/>
  <c r="D2780" i="10"/>
  <c r="D2779" i="10"/>
  <c r="D2778" i="10"/>
  <c r="D2777" i="10"/>
  <c r="E2636" i="10"/>
  <c r="D2632" i="10"/>
  <c r="D2631" i="10"/>
  <c r="D2630" i="10"/>
  <c r="D2629" i="10"/>
  <c r="D2628" i="10"/>
  <c r="D2627" i="10"/>
  <c r="D2626" i="10"/>
  <c r="D2625" i="10"/>
  <c r="D2624" i="10"/>
  <c r="E2719" i="10"/>
  <c r="D2717" i="10"/>
  <c r="D2716" i="10"/>
  <c r="D2715" i="10"/>
  <c r="D2714" i="10"/>
  <c r="D2713" i="10"/>
  <c r="E2706" i="10"/>
  <c r="D2703" i="10"/>
  <c r="D2702" i="10"/>
  <c r="D2701" i="10"/>
  <c r="E2730" i="10"/>
  <c r="D2728" i="10"/>
  <c r="D2727" i="10"/>
  <c r="D2726" i="10"/>
  <c r="D2725" i="10"/>
  <c r="D2724" i="10"/>
  <c r="D2723" i="10"/>
  <c r="D2722" i="10"/>
  <c r="D2721" i="10"/>
  <c r="E2711" i="10"/>
  <c r="D2709" i="10"/>
  <c r="D2708" i="10"/>
  <c r="E2756" i="10"/>
  <c r="D2490" i="10" l="1"/>
  <c r="D2495" i="10"/>
  <c r="D2334" i="10"/>
  <c r="D2556" i="10"/>
  <c r="D2578" i="10"/>
  <c r="D2619" i="10"/>
  <c r="D2819" i="10"/>
  <c r="D2636" i="10"/>
  <c r="D2719" i="10"/>
  <c r="D2706" i="10"/>
  <c r="D2730" i="10"/>
  <c r="D2711" i="10"/>
  <c r="D2754" i="10" l="1"/>
  <c r="D2753" i="10"/>
  <c r="D2752" i="10"/>
  <c r="D2751" i="10"/>
  <c r="D2750" i="10"/>
  <c r="D2749" i="10"/>
  <c r="D2748" i="10"/>
  <c r="D2747" i="10"/>
  <c r="E2762" i="10"/>
  <c r="D2761" i="10"/>
  <c r="D2760" i="10"/>
  <c r="D2759" i="10"/>
  <c r="D2758" i="10"/>
  <c r="E2699" i="10"/>
  <c r="D2670" i="10"/>
  <c r="D2669" i="10"/>
  <c r="D2668" i="10"/>
  <c r="D2667" i="10"/>
  <c r="D2666" i="10"/>
  <c r="D2665" i="10"/>
  <c r="D2664" i="10"/>
  <c r="D2663" i="10"/>
  <c r="D2662" i="10"/>
  <c r="D2661" i="10"/>
  <c r="D2660" i="10"/>
  <c r="D2659" i="10"/>
  <c r="D2658" i="10"/>
  <c r="D2657" i="10"/>
  <c r="D2656" i="10"/>
  <c r="D2655" i="10"/>
  <c r="D2654" i="10"/>
  <c r="D2688" i="10"/>
  <c r="D2687" i="10"/>
  <c r="D2686" i="10"/>
  <c r="D2685" i="10"/>
  <c r="D2684" i="10"/>
  <c r="D2683" i="10"/>
  <c r="D2682" i="10"/>
  <c r="D2681" i="10"/>
  <c r="D2680" i="10"/>
  <c r="D2679" i="10"/>
  <c r="D2678" i="10"/>
  <c r="D2677" i="10"/>
  <c r="D2676" i="10"/>
  <c r="D2694" i="10"/>
  <c r="D2693" i="10"/>
  <c r="D2692" i="10"/>
  <c r="D2691" i="10"/>
  <c r="D2690" i="10"/>
  <c r="D2689" i="10"/>
  <c r="D2695" i="10"/>
  <c r="D2675" i="10"/>
  <c r="D2674" i="10"/>
  <c r="D2673" i="10"/>
  <c r="D2672" i="10"/>
  <c r="D2671" i="10"/>
  <c r="D2653" i="10"/>
  <c r="D2652" i="10"/>
  <c r="D2651" i="10"/>
  <c r="D2650" i="10"/>
  <c r="D2649" i="10"/>
  <c r="D2648" i="10"/>
  <c r="D2647" i="10"/>
  <c r="D2646" i="10"/>
  <c r="D2645" i="10"/>
  <c r="D2644" i="10"/>
  <c r="D2643" i="10"/>
  <c r="D2642" i="10"/>
  <c r="D2641" i="10"/>
  <c r="D2640" i="10"/>
  <c r="D2639" i="10"/>
  <c r="D2638" i="10"/>
  <c r="E2775" i="10"/>
  <c r="D2771" i="10"/>
  <c r="D2770" i="10"/>
  <c r="D2769" i="10"/>
  <c r="D2768" i="10"/>
  <c r="D2767" i="10"/>
  <c r="D2766" i="10"/>
  <c r="D2765" i="10"/>
  <c r="D2764" i="10"/>
  <c r="E2734" i="10"/>
  <c r="D2733" i="10"/>
  <c r="D2732" i="10"/>
  <c r="E2745" i="10"/>
  <c r="D2739" i="10"/>
  <c r="D2738" i="10"/>
  <c r="D2737" i="10"/>
  <c r="D2736" i="10"/>
  <c r="D2756" i="10" l="1"/>
  <c r="D2762" i="10"/>
  <c r="D2699" i="10"/>
  <c r="D2734" i="10"/>
  <c r="D2775" i="10"/>
  <c r="D2745" i="10"/>
  <c r="E1201" i="10" l="1"/>
  <c r="D1022" i="10"/>
  <c r="D1021" i="10"/>
  <c r="D1020" i="10"/>
  <c r="D1019" i="10"/>
  <c r="D1018" i="10"/>
  <c r="D1017" i="10"/>
  <c r="D1016" i="10"/>
  <c r="D1015" i="10"/>
  <c r="D1014" i="10"/>
  <c r="D1013" i="10"/>
  <c r="D1012" i="10"/>
  <c r="D1011" i="10"/>
  <c r="D1010" i="10"/>
  <c r="D1009" i="10"/>
  <c r="D1008" i="10"/>
  <c r="D1007" i="10"/>
  <c r="D1006" i="10"/>
  <c r="D1039" i="10"/>
  <c r="D1038" i="10"/>
  <c r="D1037" i="10"/>
  <c r="D1036" i="10"/>
  <c r="D1035" i="10"/>
  <c r="D1034" i="10"/>
  <c r="D1033" i="10"/>
  <c r="D1032" i="10"/>
  <c r="D1031" i="10"/>
  <c r="D1030" i="10"/>
  <c r="D1029" i="10"/>
  <c r="D1028" i="10"/>
  <c r="D1027" i="10"/>
  <c r="D1026" i="10"/>
  <c r="D1025" i="10"/>
  <c r="D1024" i="10"/>
  <c r="D1023" i="10"/>
  <c r="D1093" i="10"/>
  <c r="D1092" i="10"/>
  <c r="D1091" i="10"/>
  <c r="D1090" i="10"/>
  <c r="D1089" i="10"/>
  <c r="D1088" i="10"/>
  <c r="D1087" i="10"/>
  <c r="D1086" i="10"/>
  <c r="D1085" i="10"/>
  <c r="D1084" i="10"/>
  <c r="D1083" i="10"/>
  <c r="D1082" i="10"/>
  <c r="D1081" i="10"/>
  <c r="D1080" i="10"/>
  <c r="D1079" i="10"/>
  <c r="D1078" i="10"/>
  <c r="D1077" i="10"/>
  <c r="D1076" i="10"/>
  <c r="D1075" i="10"/>
  <c r="D1074" i="10"/>
  <c r="D1073" i="10"/>
  <c r="D1072" i="10"/>
  <c r="D1071" i="10"/>
  <c r="D1070" i="10"/>
  <c r="D1069" i="10"/>
  <c r="D1068" i="10"/>
  <c r="D1067" i="10"/>
  <c r="D1066" i="10"/>
  <c r="D1065" i="10"/>
  <c r="D1064" i="10"/>
  <c r="D1063" i="10"/>
  <c r="D1113" i="10"/>
  <c r="D1112" i="10"/>
  <c r="D1111" i="10"/>
  <c r="D1110" i="10"/>
  <c r="D1109" i="10"/>
  <c r="D1108" i="10"/>
  <c r="D1107" i="10"/>
  <c r="D1106" i="10"/>
  <c r="D1105" i="10"/>
  <c r="D1104" i="10"/>
  <c r="D1103" i="10"/>
  <c r="D1102" i="10"/>
  <c r="D1101" i="10"/>
  <c r="D1100" i="10"/>
  <c r="D1099" i="10"/>
  <c r="D1098" i="10"/>
  <c r="D1097" i="10"/>
  <c r="D1096" i="10"/>
  <c r="D1095" i="10"/>
  <c r="D1094" i="10"/>
  <c r="D1062" i="10"/>
  <c r="D1061" i="10"/>
  <c r="D1060" i="10"/>
  <c r="D1059" i="10"/>
  <c r="D1058" i="10"/>
  <c r="D1057" i="10"/>
  <c r="D1056" i="10"/>
  <c r="D1055" i="10"/>
  <c r="D1054" i="10"/>
  <c r="D1053" i="10"/>
  <c r="D1052" i="10"/>
  <c r="D1051" i="10"/>
  <c r="D1050" i="10"/>
  <c r="D1049" i="10"/>
  <c r="D1048" i="10"/>
  <c r="D1047" i="10"/>
  <c r="D1046" i="10"/>
  <c r="D1045" i="10"/>
  <c r="D1044" i="10"/>
  <c r="D1043" i="10"/>
  <c r="D1042" i="10"/>
  <c r="D1041" i="10"/>
  <c r="D1040" i="10"/>
  <c r="D980" i="10"/>
  <c r="D979" i="10"/>
  <c r="D978" i="10"/>
  <c r="D977" i="10"/>
  <c r="D976" i="10"/>
  <c r="D975" i="10"/>
  <c r="D974" i="10"/>
  <c r="D973" i="10"/>
  <c r="D972" i="10"/>
  <c r="D971" i="10"/>
  <c r="D970" i="10"/>
  <c r="D969" i="10"/>
  <c r="D968" i="10"/>
  <c r="D967" i="10"/>
  <c r="D966" i="10"/>
  <c r="D965" i="10"/>
  <c r="D964" i="10"/>
  <c r="D963" i="10"/>
  <c r="D962" i="10"/>
  <c r="D961" i="10"/>
  <c r="D960" i="10"/>
  <c r="D959" i="10"/>
  <c r="D958" i="10"/>
  <c r="D957" i="10"/>
  <c r="D956" i="10"/>
  <c r="D955" i="10"/>
  <c r="D954" i="10"/>
  <c r="D1005" i="10"/>
  <c r="D1004" i="10"/>
  <c r="D1003" i="10"/>
  <c r="D1002" i="10"/>
  <c r="D1001" i="10"/>
  <c r="D1000" i="10"/>
  <c r="D999" i="10"/>
  <c r="D998" i="10"/>
  <c r="D997" i="10"/>
  <c r="D996" i="10"/>
  <c r="D995" i="10"/>
  <c r="D994" i="10"/>
  <c r="D993" i="10"/>
  <c r="D992" i="10"/>
  <c r="D991" i="10"/>
  <c r="D990" i="10"/>
  <c r="D989" i="10"/>
  <c r="D988" i="10"/>
  <c r="D987" i="10"/>
  <c r="D986" i="10"/>
  <c r="D985" i="10"/>
  <c r="D984" i="10"/>
  <c r="D983" i="10"/>
  <c r="D982" i="10"/>
  <c r="D981" i="10"/>
  <c r="D953" i="10"/>
  <c r="D952" i="10"/>
  <c r="D951" i="10"/>
  <c r="D950" i="10"/>
  <c r="D949" i="10"/>
  <c r="D948" i="10"/>
  <c r="D947" i="10"/>
  <c r="D946" i="10"/>
  <c r="D945" i="10"/>
  <c r="D944" i="10"/>
  <c r="D943" i="10"/>
  <c r="D942" i="10"/>
  <c r="D941" i="10"/>
  <c r="D940" i="10"/>
  <c r="D939" i="10"/>
  <c r="D938" i="10"/>
  <c r="D937" i="10"/>
  <c r="D936" i="10"/>
  <c r="D935" i="10"/>
  <c r="D934" i="10"/>
  <c r="D933" i="10"/>
  <c r="D932" i="10"/>
  <c r="D931" i="10"/>
  <c r="D930" i="10"/>
  <c r="D929" i="10"/>
  <c r="D928" i="10"/>
  <c r="D927" i="10"/>
  <c r="D926" i="10"/>
  <c r="D925" i="10"/>
  <c r="D924" i="10"/>
  <c r="D923" i="10"/>
  <c r="D922" i="10"/>
  <c r="D921" i="10"/>
  <c r="D920" i="10"/>
  <c r="D919" i="10"/>
  <c r="D918" i="10"/>
  <c r="D917" i="10"/>
  <c r="D916" i="10"/>
  <c r="D915" i="10"/>
  <c r="D1133" i="10"/>
  <c r="D1132" i="10"/>
  <c r="D1131" i="10"/>
  <c r="D1130" i="10"/>
  <c r="D1129" i="10"/>
  <c r="D1128" i="10"/>
  <c r="D1127" i="10"/>
  <c r="D1126" i="10"/>
  <c r="D1125" i="10"/>
  <c r="D1124" i="10"/>
  <c r="D1123" i="10"/>
  <c r="D1122" i="10"/>
  <c r="D1121" i="10"/>
  <c r="D1120" i="10"/>
  <c r="D1119" i="10"/>
  <c r="D1118" i="10"/>
  <c r="D1117" i="10"/>
  <c r="D1116" i="10"/>
  <c r="D1115" i="10"/>
  <c r="D1114" i="10"/>
  <c r="D1155" i="10"/>
  <c r="D1154" i="10"/>
  <c r="D1153" i="10"/>
  <c r="D1152" i="10"/>
  <c r="D1151" i="10"/>
  <c r="D1150" i="10"/>
  <c r="D1149" i="10"/>
  <c r="D1148" i="10"/>
  <c r="D1147" i="10"/>
  <c r="D1146" i="10"/>
  <c r="D1145" i="10"/>
  <c r="D1144" i="10"/>
  <c r="D1143" i="10"/>
  <c r="D1142" i="10"/>
  <c r="D1141" i="10"/>
  <c r="D1140" i="10"/>
  <c r="D1139" i="10"/>
  <c r="D1138" i="10"/>
  <c r="D1137" i="10"/>
  <c r="D1136" i="10"/>
  <c r="D1135" i="10"/>
  <c r="D1134" i="10"/>
  <c r="D914" i="10"/>
  <c r="D913" i="10"/>
  <c r="D912" i="10"/>
  <c r="D911" i="10"/>
  <c r="D910" i="10"/>
  <c r="D909" i="10"/>
  <c r="D908" i="10"/>
  <c r="D907" i="10"/>
  <c r="D906" i="10"/>
  <c r="D905" i="10"/>
  <c r="D904" i="10"/>
  <c r="D903" i="10"/>
  <c r="D902" i="10"/>
  <c r="D901" i="10"/>
  <c r="D900" i="10"/>
  <c r="D899" i="10"/>
  <c r="D898" i="10"/>
  <c r="D897" i="10"/>
  <c r="D896" i="10"/>
  <c r="D895" i="10"/>
  <c r="D894" i="10"/>
  <c r="D893" i="10"/>
  <c r="D892" i="10"/>
  <c r="D891" i="10"/>
  <c r="D890" i="10"/>
  <c r="D889" i="10"/>
  <c r="D888" i="10"/>
  <c r="D887" i="10"/>
  <c r="D886" i="10"/>
  <c r="D885" i="10"/>
  <c r="D884" i="10"/>
  <c r="D883" i="10"/>
  <c r="D882" i="10"/>
  <c r="D881" i="10"/>
  <c r="D880" i="10"/>
  <c r="D879" i="10"/>
  <c r="D878" i="10"/>
  <c r="D877" i="10"/>
  <c r="D876" i="10"/>
  <c r="D875" i="10"/>
  <c r="D874" i="10"/>
  <c r="D1172" i="10"/>
  <c r="D1171" i="10"/>
  <c r="D1170" i="10"/>
  <c r="D1169" i="10"/>
  <c r="D1168" i="10"/>
  <c r="D1167" i="10"/>
  <c r="D1166" i="10"/>
  <c r="D1165" i="10"/>
  <c r="D1164" i="10"/>
  <c r="D1163" i="10"/>
  <c r="D1162" i="10"/>
  <c r="D1161" i="10"/>
  <c r="D1160" i="10"/>
  <c r="D1159" i="10"/>
  <c r="D1158" i="10"/>
  <c r="D1157" i="10"/>
  <c r="D1156" i="10"/>
  <c r="D1174" i="10"/>
  <c r="D1173" i="10"/>
  <c r="D1175" i="10"/>
  <c r="D873" i="10"/>
  <c r="D872" i="10"/>
  <c r="D871" i="10"/>
  <c r="D870" i="10"/>
  <c r="D869" i="10"/>
  <c r="D868" i="10"/>
  <c r="D867" i="10"/>
  <c r="D866" i="10"/>
  <c r="D865" i="10"/>
  <c r="D864" i="10"/>
  <c r="D863" i="10"/>
  <c r="D862" i="10"/>
  <c r="D861" i="10"/>
  <c r="D860" i="10"/>
  <c r="D859" i="10"/>
  <c r="D858" i="10"/>
  <c r="D857" i="10"/>
  <c r="D856" i="10"/>
  <c r="D855" i="10"/>
  <c r="D854" i="10"/>
  <c r="D853" i="10"/>
  <c r="D852" i="10"/>
  <c r="D851" i="10"/>
  <c r="D850" i="10"/>
  <c r="D849" i="10"/>
  <c r="D848" i="10"/>
  <c r="D847" i="10"/>
  <c r="D846" i="10"/>
  <c r="D845" i="10"/>
  <c r="D844" i="10"/>
  <c r="D843" i="10"/>
  <c r="D842" i="10"/>
  <c r="D841" i="10"/>
  <c r="D840" i="10"/>
  <c r="D839" i="10"/>
  <c r="D838" i="10"/>
  <c r="D837" i="10"/>
  <c r="D836" i="10"/>
  <c r="D835" i="10"/>
  <c r="D834" i="10"/>
  <c r="D833" i="10"/>
  <c r="D832" i="10"/>
  <c r="D831" i="10"/>
  <c r="D830" i="10"/>
  <c r="D1201" i="10" l="1"/>
  <c r="E828" i="10"/>
  <c r="D504" i="10"/>
  <c r="D503" i="10"/>
  <c r="D502" i="10"/>
  <c r="D501" i="10"/>
  <c r="D500" i="10"/>
  <c r="D499" i="10"/>
  <c r="D498" i="10"/>
  <c r="D497" i="10"/>
  <c r="D496" i="10"/>
  <c r="D495" i="10"/>
  <c r="D513" i="10"/>
  <c r="D512" i="10"/>
  <c r="D511" i="10"/>
  <c r="D510" i="10"/>
  <c r="D509" i="10"/>
  <c r="D508" i="10"/>
  <c r="D507" i="10"/>
  <c r="D506" i="10"/>
  <c r="D505" i="10"/>
  <c r="D494" i="10"/>
  <c r="D493" i="10"/>
  <c r="D492" i="10"/>
  <c r="D491" i="10"/>
  <c r="D490" i="10"/>
  <c r="D489" i="10"/>
  <c r="D488" i="10"/>
  <c r="D487" i="10"/>
  <c r="D486" i="10"/>
  <c r="D485" i="10"/>
  <c r="D484" i="10"/>
  <c r="D523" i="10"/>
  <c r="D522" i="10"/>
  <c r="D521" i="10"/>
  <c r="D520" i="10"/>
  <c r="D519" i="10"/>
  <c r="D518" i="10"/>
  <c r="D517" i="10"/>
  <c r="D516" i="10"/>
  <c r="D515" i="10"/>
  <c r="D514" i="10"/>
  <c r="D605" i="10"/>
  <c r="D604" i="10"/>
  <c r="D603" i="10"/>
  <c r="D602" i="10"/>
  <c r="D601" i="10"/>
  <c r="D600" i="10"/>
  <c r="D599" i="10"/>
  <c r="D598" i="10"/>
  <c r="D597" i="10"/>
  <c r="D596" i="10"/>
  <c r="D595" i="10"/>
  <c r="D594" i="10"/>
  <c r="D593" i="10"/>
  <c r="D592" i="10"/>
  <c r="D591" i="10"/>
  <c r="D616" i="10"/>
  <c r="D615" i="10"/>
  <c r="D614" i="10"/>
  <c r="D613" i="10"/>
  <c r="D612" i="10"/>
  <c r="D611" i="10"/>
  <c r="D610" i="10"/>
  <c r="D609" i="10"/>
  <c r="D608" i="10"/>
  <c r="D607" i="10"/>
  <c r="D606" i="10"/>
  <c r="D590" i="10"/>
  <c r="D589" i="10"/>
  <c r="D588" i="10"/>
  <c r="D587" i="10"/>
  <c r="D586" i="10"/>
  <c r="D585" i="10"/>
  <c r="D584" i="10"/>
  <c r="D583" i="10"/>
  <c r="D582" i="10"/>
  <c r="D581" i="10"/>
  <c r="D580" i="10"/>
  <c r="D579" i="10"/>
  <c r="D578" i="10"/>
  <c r="D577" i="10"/>
  <c r="D576" i="10"/>
  <c r="D575" i="10"/>
  <c r="D574" i="10"/>
  <c r="D573" i="10"/>
  <c r="D572" i="10"/>
  <c r="D571" i="10"/>
  <c r="D570" i="10"/>
  <c r="D569" i="10"/>
  <c r="D568" i="10"/>
  <c r="D567" i="10"/>
  <c r="D566" i="10"/>
  <c r="D565" i="10"/>
  <c r="D564" i="10"/>
  <c r="D563" i="10"/>
  <c r="D562" i="10"/>
  <c r="D561" i="10"/>
  <c r="D560" i="10"/>
  <c r="D559" i="10"/>
  <c r="D558" i="10"/>
  <c r="D557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9" i="10"/>
  <c r="D628" i="10"/>
  <c r="D627" i="10"/>
  <c r="D626" i="10"/>
  <c r="D625" i="10"/>
  <c r="D624" i="10"/>
  <c r="D623" i="10"/>
  <c r="D622" i="10"/>
  <c r="D621" i="10"/>
  <c r="D620" i="10"/>
  <c r="D619" i="10"/>
  <c r="D618" i="10"/>
  <c r="D617" i="10"/>
  <c r="D660" i="10"/>
  <c r="D659" i="10"/>
  <c r="D658" i="10"/>
  <c r="D657" i="10"/>
  <c r="D656" i="10"/>
  <c r="D655" i="10"/>
  <c r="D654" i="10"/>
  <c r="D653" i="10"/>
  <c r="D652" i="10"/>
  <c r="D651" i="10"/>
  <c r="D650" i="10"/>
  <c r="D649" i="10"/>
  <c r="D648" i="10"/>
  <c r="D647" i="10"/>
  <c r="D646" i="10"/>
  <c r="D645" i="10"/>
  <c r="D644" i="10"/>
  <c r="D643" i="10"/>
  <c r="D642" i="10"/>
  <c r="D556" i="10"/>
  <c r="D555" i="10"/>
  <c r="D554" i="10"/>
  <c r="D553" i="10"/>
  <c r="D552" i="10"/>
  <c r="D551" i="10"/>
  <c r="D550" i="10"/>
  <c r="D549" i="10"/>
  <c r="D548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696" i="10"/>
  <c r="D695" i="10"/>
  <c r="D694" i="10"/>
  <c r="D693" i="10"/>
  <c r="D692" i="10"/>
  <c r="D691" i="10"/>
  <c r="D690" i="10"/>
  <c r="D689" i="10"/>
  <c r="D688" i="10"/>
  <c r="D687" i="10"/>
  <c r="D686" i="10"/>
  <c r="D685" i="10"/>
  <c r="D684" i="10"/>
  <c r="D683" i="10"/>
  <c r="D682" i="10"/>
  <c r="D681" i="10"/>
  <c r="D680" i="10"/>
  <c r="D679" i="10"/>
  <c r="D678" i="10"/>
  <c r="D677" i="10"/>
  <c r="D676" i="10"/>
  <c r="D675" i="10"/>
  <c r="D674" i="10"/>
  <c r="D673" i="10"/>
  <c r="D672" i="10"/>
  <c r="D671" i="10"/>
  <c r="D670" i="10"/>
  <c r="D669" i="10"/>
  <c r="D668" i="10"/>
  <c r="D667" i="10"/>
  <c r="D666" i="10"/>
  <c r="D665" i="10"/>
  <c r="D664" i="10"/>
  <c r="D663" i="10"/>
  <c r="D662" i="10"/>
  <c r="D661" i="10"/>
  <c r="D483" i="10"/>
  <c r="D482" i="10"/>
  <c r="D481" i="10"/>
  <c r="D480" i="10"/>
  <c r="D479" i="10"/>
  <c r="D478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731" i="10"/>
  <c r="D730" i="10"/>
  <c r="D729" i="10"/>
  <c r="D728" i="10"/>
  <c r="D727" i="10"/>
  <c r="D726" i="10"/>
  <c r="D725" i="10"/>
  <c r="D724" i="10"/>
  <c r="D723" i="10"/>
  <c r="D722" i="10"/>
  <c r="D721" i="10"/>
  <c r="D720" i="10"/>
  <c r="D719" i="10"/>
  <c r="D718" i="10"/>
  <c r="D717" i="10"/>
  <c r="D716" i="10"/>
  <c r="D715" i="10"/>
  <c r="D714" i="10"/>
  <c r="D713" i="10"/>
  <c r="D712" i="10"/>
  <c r="D711" i="10"/>
  <c r="D710" i="10"/>
  <c r="D709" i="10"/>
  <c r="D708" i="10"/>
  <c r="D707" i="10"/>
  <c r="D706" i="10"/>
  <c r="D705" i="10"/>
  <c r="D704" i="10"/>
  <c r="D703" i="10"/>
  <c r="D702" i="10"/>
  <c r="D701" i="10"/>
  <c r="D700" i="10"/>
  <c r="D699" i="10"/>
  <c r="D698" i="10"/>
  <c r="D697" i="10"/>
  <c r="D753" i="10"/>
  <c r="D752" i="10"/>
  <c r="D751" i="10"/>
  <c r="D750" i="10"/>
  <c r="D749" i="10"/>
  <c r="D748" i="10"/>
  <c r="D747" i="10"/>
  <c r="D746" i="10"/>
  <c r="D745" i="10"/>
  <c r="D744" i="10"/>
  <c r="D743" i="10"/>
  <c r="D742" i="10"/>
  <c r="D741" i="10"/>
  <c r="D740" i="10"/>
  <c r="D739" i="10"/>
  <c r="D738" i="10"/>
  <c r="D737" i="10"/>
  <c r="D736" i="10"/>
  <c r="D735" i="10"/>
  <c r="D734" i="10"/>
  <c r="D733" i="10"/>
  <c r="D732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20" i="10"/>
  <c r="D419" i="10"/>
  <c r="D418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808" i="10"/>
  <c r="D809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2825" i="10"/>
  <c r="D2824" i="10"/>
  <c r="D2823" i="10"/>
  <c r="D2822" i="10"/>
  <c r="D2821" i="10"/>
  <c r="E2852" i="10"/>
  <c r="D2849" i="10"/>
  <c r="D2848" i="10"/>
  <c r="D2847" i="10"/>
  <c r="D2846" i="10"/>
  <c r="D2845" i="10"/>
  <c r="D2844" i="10"/>
  <c r="D2843" i="10"/>
  <c r="D2842" i="10"/>
  <c r="D2841" i="10"/>
  <c r="D2840" i="10"/>
  <c r="D2839" i="10"/>
  <c r="D2838" i="10"/>
  <c r="D2837" i="10"/>
  <c r="D2836" i="10"/>
  <c r="D2835" i="10"/>
  <c r="D2834" i="10"/>
  <c r="D2833" i="10"/>
  <c r="D2832" i="10"/>
  <c r="D2831" i="10"/>
  <c r="D2830" i="10"/>
  <c r="D2829" i="10"/>
  <c r="D2828" i="10"/>
  <c r="E2862" i="10"/>
  <c r="D2860" i="10"/>
  <c r="D2859" i="10"/>
  <c r="D2858" i="10"/>
  <c r="D2857" i="10"/>
  <c r="D2856" i="10"/>
  <c r="D2855" i="10"/>
  <c r="D2854" i="10"/>
  <c r="E2866" i="10"/>
  <c r="D2865" i="10"/>
  <c r="D2864" i="10"/>
  <c r="E2878" i="10"/>
  <c r="D2877" i="10"/>
  <c r="D2876" i="10"/>
  <c r="D2875" i="10"/>
  <c r="D2874" i="10"/>
  <c r="D2873" i="10"/>
  <c r="D2872" i="10"/>
  <c r="D2871" i="10"/>
  <c r="D2870" i="10"/>
  <c r="D2869" i="10"/>
  <c r="D2868" i="10"/>
  <c r="E2883" i="10"/>
  <c r="D2881" i="10"/>
  <c r="D2880" i="10"/>
  <c r="D828" i="10" l="1"/>
  <c r="D2826" i="10"/>
  <c r="D2852" i="10"/>
  <c r="D2862" i="10"/>
  <c r="D2866" i="10"/>
  <c r="D2878" i="10"/>
  <c r="D2883" i="10"/>
  <c r="E399" i="10" l="1"/>
  <c r="D104" i="10"/>
  <c r="D103" i="10"/>
  <c r="D102" i="10"/>
  <c r="D101" i="10"/>
  <c r="D100" i="10"/>
  <c r="D99" i="10"/>
  <c r="D98" i="10"/>
  <c r="D97" i="10"/>
  <c r="D96" i="10"/>
  <c r="D95" i="10"/>
  <c r="D114" i="10"/>
  <c r="D113" i="10"/>
  <c r="D112" i="10"/>
  <c r="D111" i="10"/>
  <c r="D110" i="10"/>
  <c r="D109" i="10"/>
  <c r="D108" i="10"/>
  <c r="D107" i="10"/>
  <c r="D106" i="10"/>
  <c r="D105" i="10"/>
  <c r="D94" i="10"/>
  <c r="D93" i="10"/>
  <c r="D92" i="10"/>
  <c r="D91" i="10"/>
  <c r="D90" i="10"/>
  <c r="D89" i="10"/>
  <c r="D8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87" i="10"/>
  <c r="D86" i="10"/>
  <c r="D85" i="10"/>
  <c r="D84" i="10"/>
  <c r="D83" i="10"/>
  <c r="D82" i="10"/>
  <c r="D81" i="10"/>
  <c r="D80" i="10"/>
  <c r="D79" i="10"/>
  <c r="D78" i="10"/>
  <c r="D77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80" i="10"/>
  <c r="D379" i="10"/>
  <c r="D378" i="10"/>
  <c r="D377" i="10"/>
  <c r="D376" i="10"/>
  <c r="D375" i="10"/>
  <c r="D374" i="10"/>
  <c r="D373" i="10"/>
  <c r="D381" i="10"/>
  <c r="D10" i="10"/>
  <c r="D9" i="10"/>
  <c r="D8" i="10"/>
  <c r="D7" i="10"/>
  <c r="D6" i="10"/>
  <c r="E2088" i="10"/>
  <c r="D2082" i="10"/>
  <c r="D2081" i="10"/>
  <c r="D2080" i="10"/>
  <c r="D2079" i="10"/>
  <c r="D2078" i="10"/>
  <c r="D2077" i="10"/>
  <c r="D2076" i="10"/>
  <c r="D2075" i="10"/>
  <c r="D2074" i="10"/>
  <c r="D2073" i="10"/>
  <c r="D2072" i="10"/>
  <c r="D2071" i="10"/>
  <c r="D2070" i="10"/>
  <c r="D2069" i="10"/>
  <c r="D2068" i="10"/>
  <c r="D2067" i="10"/>
  <c r="D2066" i="10"/>
  <c r="E2124" i="10"/>
  <c r="D2112" i="10"/>
  <c r="D2111" i="10"/>
  <c r="D2110" i="10"/>
  <c r="D2109" i="10"/>
  <c r="D2108" i="10"/>
  <c r="D2107" i="10"/>
  <c r="D2106" i="10"/>
  <c r="D2105" i="10"/>
  <c r="D2116" i="10"/>
  <c r="D2115" i="10"/>
  <c r="D2114" i="10"/>
  <c r="D2113" i="10"/>
  <c r="D2104" i="10"/>
  <c r="D2103" i="10"/>
  <c r="D2102" i="10"/>
  <c r="D2101" i="10"/>
  <c r="D2100" i="10"/>
  <c r="D2117" i="10"/>
  <c r="D2118" i="10"/>
  <c r="D2099" i="10"/>
  <c r="D2098" i="10"/>
  <c r="D2097" i="10"/>
  <c r="D2096" i="10"/>
  <c r="D2095" i="10"/>
  <c r="D2094" i="10"/>
  <c r="D2093" i="10"/>
  <c r="D2092" i="10"/>
  <c r="D2091" i="10"/>
  <c r="D2090" i="10"/>
  <c r="E2191" i="10"/>
  <c r="D2160" i="10"/>
  <c r="D2159" i="10"/>
  <c r="D2158" i="10"/>
  <c r="D2157" i="10"/>
  <c r="D2156" i="10"/>
  <c r="D2155" i="10"/>
  <c r="D2154" i="10"/>
  <c r="E2201" i="10"/>
  <c r="D2197" i="10"/>
  <c r="D2196" i="10"/>
  <c r="D2195" i="10"/>
  <c r="D2194" i="10"/>
  <c r="D2193" i="10"/>
  <c r="E2246" i="10"/>
  <c r="D2226" i="10"/>
  <c r="D2225" i="10"/>
  <c r="D2224" i="10"/>
  <c r="D2223" i="10"/>
  <c r="D2222" i="10"/>
  <c r="D2221" i="10"/>
  <c r="D2220" i="10"/>
  <c r="D2219" i="10"/>
  <c r="D2218" i="10"/>
  <c r="D2217" i="10"/>
  <c r="D2216" i="10"/>
  <c r="D2215" i="10"/>
  <c r="D2214" i="10"/>
  <c r="D2236" i="10"/>
  <c r="D2235" i="10"/>
  <c r="D2234" i="10"/>
  <c r="D2233" i="10"/>
  <c r="D2232" i="10"/>
  <c r="D2231" i="10"/>
  <c r="D2230" i="10"/>
  <c r="D2229" i="10"/>
  <c r="D2228" i="10"/>
  <c r="D2227" i="10"/>
  <c r="D2237" i="10"/>
  <c r="D2238" i="10"/>
  <c r="D2213" i="10"/>
  <c r="D2212" i="10"/>
  <c r="D2211" i="10"/>
  <c r="D2210" i="10"/>
  <c r="D2209" i="10"/>
  <c r="D2208" i="10"/>
  <c r="D2207" i="10"/>
  <c r="D2206" i="10"/>
  <c r="D2205" i="10"/>
  <c r="D2204" i="10"/>
  <c r="D2203" i="10"/>
  <c r="E2152" i="10"/>
  <c r="D2148" i="10"/>
  <c r="D2147" i="10"/>
  <c r="D2146" i="10"/>
  <c r="D2145" i="10"/>
  <c r="D2144" i="10"/>
  <c r="D2143" i="10"/>
  <c r="D2142" i="10"/>
  <c r="D2141" i="10"/>
  <c r="D2140" i="10"/>
  <c r="D2139" i="10"/>
  <c r="D2138" i="10"/>
  <c r="D2137" i="10"/>
  <c r="D2136" i="10"/>
  <c r="D2135" i="10"/>
  <c r="D2134" i="10"/>
  <c r="D2133" i="10"/>
  <c r="E2131" i="10"/>
  <c r="D2128" i="10"/>
  <c r="D2127" i="10"/>
  <c r="D2126" i="10"/>
  <c r="E2322" i="10"/>
  <c r="D2320" i="10"/>
  <c r="D2319" i="10"/>
  <c r="D2318" i="10"/>
  <c r="D2317" i="10"/>
  <c r="D2316" i="10"/>
  <c r="E2314" i="10"/>
  <c r="D2310" i="10"/>
  <c r="D2309" i="10"/>
  <c r="D2308" i="10"/>
  <c r="D2307" i="10"/>
  <c r="D2306" i="10"/>
  <c r="D2305" i="10"/>
  <c r="D2304" i="10"/>
  <c r="D2303" i="10"/>
  <c r="D2302" i="10"/>
  <c r="D2301" i="10"/>
  <c r="D2300" i="10"/>
  <c r="D2299" i="10"/>
  <c r="D2298" i="10"/>
  <c r="D2297" i="10"/>
  <c r="D2296" i="10"/>
  <c r="D2295" i="10"/>
  <c r="D2294" i="10"/>
  <c r="D2293" i="10"/>
  <c r="E2291" i="10"/>
  <c r="D2290" i="10"/>
  <c r="D2289" i="10"/>
  <c r="E2287" i="10"/>
  <c r="D2284" i="10"/>
  <c r="D2283" i="10"/>
  <c r="D2282" i="10"/>
  <c r="D2281" i="10"/>
  <c r="D2280" i="10"/>
  <c r="D2279" i="10"/>
  <c r="D2278" i="10"/>
  <c r="D2277" i="10"/>
  <c r="D2276" i="10"/>
  <c r="D2275" i="10"/>
  <c r="D2274" i="10"/>
  <c r="D2273" i="10"/>
  <c r="D2272" i="10"/>
  <c r="E2270" i="10"/>
  <c r="D2267" i="10"/>
  <c r="D2266" i="10"/>
  <c r="D2265" i="10"/>
  <c r="D2264" i="10"/>
  <c r="D2263" i="10"/>
  <c r="D2262" i="10"/>
  <c r="D2261" i="10"/>
  <c r="D2260" i="10"/>
  <c r="D2259" i="10"/>
  <c r="D2258" i="10"/>
  <c r="D2257" i="10"/>
  <c r="D2256" i="10"/>
  <c r="D2255" i="10"/>
  <c r="D2254" i="10"/>
  <c r="D2253" i="10"/>
  <c r="D2252" i="10"/>
  <c r="D2251" i="10"/>
  <c r="D2250" i="10"/>
  <c r="D2249" i="10"/>
  <c r="D2248" i="10"/>
  <c r="E1591" i="10"/>
  <c r="D1590" i="10"/>
  <c r="D1589" i="10"/>
  <c r="D1588" i="10"/>
  <c r="D1587" i="10"/>
  <c r="D1586" i="10"/>
  <c r="D1585" i="10"/>
  <c r="D1584" i="10"/>
  <c r="D399" i="10" l="1"/>
  <c r="D2088" i="10"/>
  <c r="D2124" i="10"/>
  <c r="D2191" i="10"/>
  <c r="D2201" i="10"/>
  <c r="D2246" i="10"/>
  <c r="D2152" i="10"/>
  <c r="D2131" i="10"/>
  <c r="D2291" i="10"/>
  <c r="D2322" i="10"/>
  <c r="D2314" i="10"/>
  <c r="D2287" i="10"/>
  <c r="D1591" i="10"/>
  <c r="D2270" i="10"/>
  <c r="E1582" i="10" l="1"/>
  <c r="D1402" i="10"/>
  <c r="D1401" i="10"/>
  <c r="D1400" i="10"/>
  <c r="D1399" i="10"/>
  <c r="D1398" i="10"/>
  <c r="D1397" i="10"/>
  <c r="D1396" i="10"/>
  <c r="D1395" i="10"/>
  <c r="D1394" i="10"/>
  <c r="D1393" i="10"/>
  <c r="D1392" i="10"/>
  <c r="D1391" i="10"/>
  <c r="D1390" i="10"/>
  <c r="D1389" i="10"/>
  <c r="D1388" i="10"/>
  <c r="D1387" i="10"/>
  <c r="D1386" i="10"/>
  <c r="D1385" i="10"/>
  <c r="D1384" i="10"/>
  <c r="D1383" i="10"/>
  <c r="D1382" i="10"/>
  <c r="D1381" i="10"/>
  <c r="D1380" i="10"/>
  <c r="D1379" i="10"/>
  <c r="D1378" i="10"/>
  <c r="D1377" i="10"/>
  <c r="D1376" i="10"/>
  <c r="D1375" i="10"/>
  <c r="D1374" i="10"/>
  <c r="D1422" i="10"/>
  <c r="D1421" i="10"/>
  <c r="D1420" i="10"/>
  <c r="D1419" i="10"/>
  <c r="D1418" i="10"/>
  <c r="D1417" i="10"/>
  <c r="D1416" i="10"/>
  <c r="D1415" i="10"/>
  <c r="D1414" i="10"/>
  <c r="D1413" i="10"/>
  <c r="D1412" i="10"/>
  <c r="D1411" i="10"/>
  <c r="D1410" i="10"/>
  <c r="D1409" i="10"/>
  <c r="D1408" i="10"/>
  <c r="D1407" i="10"/>
  <c r="D1406" i="10"/>
  <c r="D1405" i="10"/>
  <c r="D1404" i="10"/>
  <c r="D1403" i="10"/>
  <c r="D1373" i="10"/>
  <c r="D1372" i="10"/>
  <c r="D1371" i="10"/>
  <c r="D1370" i="10"/>
  <c r="D1369" i="10"/>
  <c r="D1368" i="10"/>
  <c r="D1367" i="10"/>
  <c r="D1366" i="10"/>
  <c r="D1365" i="10"/>
  <c r="D1364" i="10"/>
  <c r="D1363" i="10"/>
  <c r="D1362" i="10"/>
  <c r="D1361" i="10"/>
  <c r="D1441" i="10"/>
  <c r="D1440" i="10"/>
  <c r="D1439" i="10"/>
  <c r="D1438" i="10"/>
  <c r="D1437" i="10"/>
  <c r="D1436" i="10"/>
  <c r="D1435" i="10"/>
  <c r="D1434" i="10"/>
  <c r="D1433" i="10"/>
  <c r="D1432" i="10"/>
  <c r="D1431" i="10"/>
  <c r="D1430" i="10"/>
  <c r="D1429" i="10"/>
  <c r="D1428" i="10"/>
  <c r="D1427" i="10"/>
  <c r="D1426" i="10"/>
  <c r="D1425" i="10"/>
  <c r="D1424" i="10"/>
  <c r="D1423" i="10"/>
  <c r="D1360" i="10"/>
  <c r="D1359" i="10"/>
  <c r="D1358" i="10"/>
  <c r="D1357" i="10"/>
  <c r="D1356" i="10"/>
  <c r="D1355" i="10"/>
  <c r="D1354" i="10"/>
  <c r="D1353" i="10"/>
  <c r="D1352" i="10"/>
  <c r="D1351" i="10"/>
  <c r="D1350" i="10"/>
  <c r="D1349" i="10"/>
  <c r="D1348" i="10"/>
  <c r="D1347" i="10"/>
  <c r="D1346" i="10"/>
  <c r="D1345" i="10"/>
  <c r="D1344" i="10"/>
  <c r="D1343" i="10"/>
  <c r="D1342" i="10"/>
  <c r="D1341" i="10"/>
  <c r="D1340" i="10"/>
  <c r="D1339" i="10"/>
  <c r="D1338" i="10"/>
  <c r="D1337" i="10"/>
  <c r="D1336" i="10"/>
  <c r="D1335" i="10"/>
  <c r="D1334" i="10"/>
  <c r="D1333" i="10"/>
  <c r="D1332" i="10"/>
  <c r="D1331" i="10"/>
  <c r="D1330" i="10"/>
  <c r="D1329" i="10"/>
  <c r="D1328" i="10"/>
  <c r="D1327" i="10"/>
  <c r="D1326" i="10"/>
  <c r="D1325" i="10"/>
  <c r="D1324" i="10"/>
  <c r="D1323" i="10"/>
  <c r="D1322" i="10"/>
  <c r="D1321" i="10"/>
  <c r="D1320" i="10"/>
  <c r="D1319" i="10"/>
  <c r="D1318" i="10"/>
  <c r="D1317" i="10"/>
  <c r="D1316" i="10"/>
  <c r="D1315" i="10"/>
  <c r="D1314" i="10"/>
  <c r="D1313" i="10"/>
  <c r="D1312" i="10"/>
  <c r="D1311" i="10"/>
  <c r="D1310" i="10"/>
  <c r="D1309" i="10"/>
  <c r="D1308" i="10"/>
  <c r="D1307" i="10"/>
  <c r="D1306" i="10"/>
  <c r="D1305" i="10"/>
  <c r="D1304" i="10"/>
  <c r="D1303" i="10"/>
  <c r="D1302" i="10"/>
  <c r="D1301" i="10"/>
  <c r="D1300" i="10"/>
  <c r="D1299" i="10"/>
  <c r="D1298" i="10"/>
  <c r="D1297" i="10"/>
  <c r="D1296" i="10"/>
  <c r="D1295" i="10"/>
  <c r="D1294" i="10"/>
  <c r="D1293" i="10"/>
  <c r="D1292" i="10"/>
  <c r="D1291" i="10"/>
  <c r="D1470" i="10"/>
  <c r="D1469" i="10"/>
  <c r="D1468" i="10"/>
  <c r="D1467" i="10"/>
  <c r="D1466" i="10"/>
  <c r="D1465" i="10"/>
  <c r="D1464" i="10"/>
  <c r="D1463" i="10"/>
  <c r="D1462" i="10"/>
  <c r="D1461" i="10"/>
  <c r="D1460" i="10"/>
  <c r="D1459" i="10"/>
  <c r="D1458" i="10"/>
  <c r="D1457" i="10"/>
  <c r="D1456" i="10"/>
  <c r="D1455" i="10"/>
  <c r="D1454" i="10"/>
  <c r="D1453" i="10"/>
  <c r="D1452" i="10"/>
  <c r="D1451" i="10"/>
  <c r="D1450" i="10"/>
  <c r="D1449" i="10"/>
  <c r="D1448" i="10"/>
  <c r="D1447" i="10"/>
  <c r="D1446" i="10"/>
  <c r="D1445" i="10"/>
  <c r="D1444" i="10"/>
  <c r="D1443" i="10"/>
  <c r="D1442" i="10"/>
  <c r="D1490" i="10"/>
  <c r="D1489" i="10"/>
  <c r="D1488" i="10"/>
  <c r="D1487" i="10"/>
  <c r="D1486" i="10"/>
  <c r="D1485" i="10"/>
  <c r="D1484" i="10"/>
  <c r="D1483" i="10"/>
  <c r="D1482" i="10"/>
  <c r="D1481" i="10"/>
  <c r="D1480" i="10"/>
  <c r="D1479" i="10"/>
  <c r="D1478" i="10"/>
  <c r="D1477" i="10"/>
  <c r="D1476" i="10"/>
  <c r="D1475" i="10"/>
  <c r="D1473" i="10" l="1"/>
  <c r="D1472" i="10"/>
  <c r="D1471" i="10"/>
  <c r="D1290" i="10"/>
  <c r="D1289" i="10"/>
  <c r="D1288" i="10"/>
  <c r="D1287" i="10"/>
  <c r="D1286" i="10"/>
  <c r="D1285" i="10"/>
  <c r="D1284" i="10"/>
  <c r="D1283" i="10"/>
  <c r="D1282" i="10"/>
  <c r="D1281" i="10"/>
  <c r="D1280" i="10"/>
  <c r="D1279" i="10"/>
  <c r="D1278" i="10"/>
  <c r="D1277" i="10"/>
  <c r="D1276" i="10"/>
  <c r="D1275" i="10"/>
  <c r="D1274" i="10"/>
  <c r="D1273" i="10"/>
  <c r="D1272" i="10"/>
  <c r="D1271" i="10"/>
  <c r="D1270" i="10"/>
  <c r="D1269" i="10"/>
  <c r="D1268" i="10"/>
  <c r="D1267" i="10"/>
  <c r="D1266" i="10"/>
  <c r="D1265" i="10"/>
  <c r="D1264" i="10"/>
  <c r="D1263" i="10"/>
  <c r="D1262" i="10"/>
  <c r="D1261" i="10"/>
  <c r="D1260" i="10"/>
  <c r="D1259" i="10"/>
  <c r="D1258" i="10"/>
  <c r="D1257" i="10"/>
  <c r="D1256" i="10"/>
  <c r="D1255" i="10"/>
  <c r="D1254" i="10"/>
  <c r="D1253" i="10"/>
  <c r="D1252" i="10"/>
  <c r="D1515" i="10"/>
  <c r="D1514" i="10"/>
  <c r="D1513" i="10"/>
  <c r="D1512" i="10"/>
  <c r="D1511" i="10"/>
  <c r="D1510" i="10"/>
  <c r="D1509" i="10"/>
  <c r="D1508" i="10"/>
  <c r="D1507" i="10"/>
  <c r="D1506" i="10"/>
  <c r="D1505" i="10"/>
  <c r="D1504" i="10"/>
  <c r="D1503" i="10"/>
  <c r="D1502" i="10"/>
  <c r="D1501" i="10"/>
  <c r="D1500" i="10"/>
  <c r="D1499" i="10"/>
  <c r="D1498" i="10"/>
  <c r="D1497" i="10"/>
  <c r="D1496" i="10"/>
  <c r="D1495" i="10"/>
  <c r="D1494" i="10"/>
  <c r="D1493" i="10"/>
  <c r="D1492" i="10"/>
  <c r="D1491" i="10"/>
  <c r="D1251" i="10"/>
  <c r="D1250" i="10"/>
  <c r="D1249" i="10"/>
  <c r="D1248" i="10"/>
  <c r="D1247" i="10"/>
  <c r="D1246" i="10"/>
  <c r="D1245" i="10"/>
  <c r="D1244" i="10"/>
  <c r="D1243" i="10"/>
  <c r="D1242" i="10"/>
  <c r="D1241" i="10"/>
  <c r="D1240" i="10"/>
  <c r="D1239" i="10"/>
  <c r="D1238" i="10"/>
  <c r="D1237" i="10"/>
  <c r="D1236" i="10"/>
  <c r="D1235" i="10"/>
  <c r="D1234" i="10"/>
  <c r="D1233" i="10"/>
  <c r="D1232" i="10"/>
  <c r="D1231" i="10"/>
  <c r="D1230" i="10"/>
  <c r="D1229" i="10"/>
  <c r="D1228" i="10"/>
  <c r="D1227" i="10"/>
  <c r="D1226" i="10"/>
  <c r="D1225" i="10"/>
  <c r="D1224" i="10"/>
  <c r="D1223" i="10"/>
  <c r="D1222" i="10"/>
  <c r="D1221" i="10"/>
  <c r="D1220" i="10"/>
  <c r="D1219" i="10"/>
  <c r="D1218" i="10"/>
  <c r="D1217" i="10"/>
  <c r="D1216" i="10"/>
  <c r="D1215" i="10"/>
  <c r="D1214" i="10"/>
  <c r="D1213" i="10"/>
  <c r="D1212" i="10"/>
  <c r="D1211" i="10"/>
  <c r="D1540" i="10"/>
  <c r="D1539" i="10"/>
  <c r="D1538" i="10"/>
  <c r="D1537" i="10"/>
  <c r="D1536" i="10"/>
  <c r="D1535" i="10"/>
  <c r="D1534" i="10"/>
  <c r="D1533" i="10"/>
  <c r="D1532" i="10"/>
  <c r="D1531" i="10"/>
  <c r="D1530" i="10"/>
  <c r="D1529" i="10"/>
  <c r="D1528" i="10"/>
  <c r="D1527" i="10"/>
  <c r="D1526" i="10"/>
  <c r="D1525" i="10"/>
  <c r="D1524" i="10"/>
  <c r="D1523" i="10"/>
  <c r="D1522" i="10"/>
  <c r="D1521" i="10"/>
  <c r="D1520" i="10"/>
  <c r="D1519" i="10"/>
  <c r="D1518" i="10"/>
  <c r="D1517" i="10"/>
  <c r="D1516" i="10"/>
  <c r="D1555" i="10"/>
  <c r="D1554" i="10"/>
  <c r="D1553" i="10"/>
  <c r="D1552" i="10"/>
  <c r="D1551" i="10"/>
  <c r="D1550" i="10"/>
  <c r="D1549" i="10"/>
  <c r="D1548" i="10"/>
  <c r="D1547" i="10"/>
  <c r="D1546" i="10"/>
  <c r="D1545" i="10"/>
  <c r="D1544" i="10"/>
  <c r="D1543" i="10"/>
  <c r="D1542" i="10"/>
  <c r="D1541" i="10"/>
  <c r="D1569" i="10"/>
  <c r="D1568" i="10"/>
  <c r="D1567" i="10"/>
  <c r="D1566" i="10"/>
  <c r="D1565" i="10"/>
  <c r="D1564" i="10"/>
  <c r="D1563" i="10"/>
  <c r="D1562" i="10"/>
  <c r="D1561" i="10"/>
  <c r="D1560" i="10"/>
  <c r="D1559" i="10"/>
  <c r="D1558" i="10"/>
  <c r="D1557" i="10"/>
  <c r="D1556" i="10"/>
  <c r="D1570" i="10"/>
  <c r="D1571" i="10"/>
  <c r="D1572" i="10"/>
  <c r="D1573" i="10"/>
  <c r="D1574" i="10"/>
  <c r="D1210" i="10"/>
  <c r="D1209" i="10"/>
  <c r="D1208" i="10"/>
  <c r="D1207" i="10"/>
  <c r="D1206" i="10"/>
  <c r="D1205" i="10"/>
  <c r="D1204" i="10"/>
  <c r="D1203" i="10"/>
  <c r="E2064" i="10"/>
  <c r="D2059" i="10"/>
  <c r="D2058" i="10"/>
  <c r="D2057" i="10"/>
  <c r="D2056" i="10"/>
  <c r="D2055" i="10"/>
  <c r="D2054" i="10"/>
  <c r="D2053" i="10"/>
  <c r="D2052" i="10"/>
  <c r="E2050" i="10"/>
  <c r="D2048" i="10"/>
  <c r="D2047" i="10"/>
  <c r="D2046" i="10"/>
  <c r="E2044" i="10"/>
  <c r="D2041" i="10"/>
  <c r="D2040" i="10"/>
  <c r="D2039" i="10"/>
  <c r="D2038" i="10"/>
  <c r="D2037" i="10"/>
  <c r="D1582" i="10" l="1"/>
  <c r="D2064" i="10"/>
  <c r="D2050" i="10"/>
  <c r="D2044" i="10"/>
  <c r="E2035" i="10" l="1"/>
  <c r="D2025" i="10"/>
  <c r="D2024" i="10"/>
  <c r="D2023" i="10"/>
  <c r="D2022" i="10"/>
  <c r="D2021" i="10"/>
  <c r="D2020" i="10"/>
  <c r="D2019" i="10"/>
  <c r="D2018" i="10"/>
  <c r="D2017" i="10"/>
  <c r="D2016" i="10"/>
  <c r="D2015" i="10"/>
  <c r="D2014" i="10"/>
  <c r="D2013" i="10"/>
  <c r="E2011" i="10"/>
  <c r="D2009" i="10"/>
  <c r="D2011" i="10" s="1"/>
  <c r="E2007" i="10"/>
  <c r="D2005" i="10"/>
  <c r="D2007" i="10" s="1"/>
  <c r="D2035" i="10" l="1"/>
  <c r="E2826" i="10" l="1"/>
  <c r="E2622" i="10" l="1"/>
  <c r="D2622" i="10"/>
</calcChain>
</file>

<file path=xl/sharedStrings.xml><?xml version="1.0" encoding="utf-8"?>
<sst xmlns="http://schemas.openxmlformats.org/spreadsheetml/2006/main" count="3416" uniqueCount="3291">
  <si>
    <t>№</t>
  </si>
  <si>
    <t>ИНН</t>
  </si>
  <si>
    <t>Итого</t>
  </si>
  <si>
    <t>1</t>
  </si>
  <si>
    <t xml:space="preserve"> </t>
  </si>
  <si>
    <t>Свердловский район</t>
  </si>
  <si>
    <t>Ат-Башинский район</t>
  </si>
  <si>
    <t xml:space="preserve">Иссык-Кульский район </t>
  </si>
  <si>
    <t>Кочкорский район</t>
  </si>
  <si>
    <t>Аламудунский район</t>
  </si>
  <si>
    <t>2</t>
  </si>
  <si>
    <t>Нарынский район</t>
  </si>
  <si>
    <t>город Нарын</t>
  </si>
  <si>
    <t>Араванский район</t>
  </si>
  <si>
    <t>Алайский район</t>
  </si>
  <si>
    <t>город Кызыл-Кыя</t>
  </si>
  <si>
    <t>город Талас</t>
  </si>
  <si>
    <t>Аксыйский район</t>
  </si>
  <si>
    <t>Чуйский район</t>
  </si>
  <si>
    <t>Жумгальский район</t>
  </si>
  <si>
    <t>Чаткалский район</t>
  </si>
  <si>
    <t>Сузакский район</t>
  </si>
  <si>
    <t>город Таш-Кумыр</t>
  </si>
  <si>
    <t>Базар-Коргонский район</t>
  </si>
  <si>
    <t>Наименование</t>
  </si>
  <si>
    <t>Управление по контролю за крупными налогоплательщиками по г. Бишкек и северному региону</t>
  </si>
  <si>
    <t>Сокулукский район</t>
  </si>
  <si>
    <t>Московский район</t>
  </si>
  <si>
    <t>Жайылский район</t>
  </si>
  <si>
    <t>Ысык-Атинский район</t>
  </si>
  <si>
    <t>город Токмок</t>
  </si>
  <si>
    <t>город Каракол</t>
  </si>
  <si>
    <t>город Балыкчы</t>
  </si>
  <si>
    <t>Ак-Суйский район</t>
  </si>
  <si>
    <t>Тюпский район</t>
  </si>
  <si>
    <t>Манасский район</t>
  </si>
  <si>
    <t>Кара-Суйский район</t>
  </si>
  <si>
    <t>город Жалал-Абад</t>
  </si>
  <si>
    <t>город Кара-Куль</t>
  </si>
  <si>
    <t>Лейлекский район</t>
  </si>
  <si>
    <t>по налогам</t>
  </si>
  <si>
    <t>по страховым взносам</t>
  </si>
  <si>
    <t>Тонский район</t>
  </si>
  <si>
    <t>Бакай-Атинский район</t>
  </si>
  <si>
    <t>Кеминский район</t>
  </si>
  <si>
    <t>Ленинский район</t>
  </si>
  <si>
    <t>Первомайский район</t>
  </si>
  <si>
    <t>Октябрьский район</t>
  </si>
  <si>
    <t>Панфиловский район</t>
  </si>
  <si>
    <t>город Ош</t>
  </si>
  <si>
    <t>ОсОО "Фрунзе-Резорт"</t>
  </si>
  <si>
    <t>ОсОО "Майский рассвет"</t>
  </si>
  <si>
    <t>ОсОО "Фарид Лес"</t>
  </si>
  <si>
    <t>ОсОО "Ала-Фараби"</t>
  </si>
  <si>
    <t>ОсОО "Альбен"</t>
  </si>
  <si>
    <t>ОсОО "Гранд-Ойл-Групп"</t>
  </si>
  <si>
    <t>ОсОО "Султан СС"</t>
  </si>
  <si>
    <t>ОсОО "Магнат Темир"</t>
  </si>
  <si>
    <t>ОсОО "Тегиз-Нур"</t>
  </si>
  <si>
    <t>Исмаилов Имамбек Сагалдалдаевич</t>
  </si>
  <si>
    <t>Сатылганов Дуйшенбек Абасович</t>
  </si>
  <si>
    <t>ОсОО "Май Сервис"</t>
  </si>
  <si>
    <t>Матаев Максат Турсунбекович</t>
  </si>
  <si>
    <t>ОсОО "Нураман KG" (Нураман КейДжи)</t>
  </si>
  <si>
    <t>ОсОО "Транс Логистик Капитал"</t>
  </si>
  <si>
    <t>ОсОО "Спекулянт"</t>
  </si>
  <si>
    <t>ОсОО "Данмарк Алко Трейд"</t>
  </si>
  <si>
    <t>ОсОО "Инайа Пикчерс"</t>
  </si>
  <si>
    <t>ОсОО "Нурасан"</t>
  </si>
  <si>
    <t>ОсОО "МИНЕРАЛ СТОУН МАЙНИНГ"</t>
  </si>
  <si>
    <t>ОсОО "Казросстранзит"</t>
  </si>
  <si>
    <t>ОсОО "ULTRA-TECHICS"</t>
  </si>
  <si>
    <t>Каныбек уулу Бактыбек</t>
  </si>
  <si>
    <t>ОсОО "М.М.М Карго"</t>
  </si>
  <si>
    <t>Гербер Ольга Ивановна</t>
  </si>
  <si>
    <t>Рысбекова Чолпон Барктабасовна</t>
  </si>
  <si>
    <t xml:space="preserve">Шотоев Азамат </t>
  </si>
  <si>
    <t>Тоштук уулу Нургелди</t>
  </si>
  <si>
    <t>Дулатова Жаркынай Алтымышбековна</t>
  </si>
  <si>
    <t>Усупова Айаткан Исмаиловна</t>
  </si>
  <si>
    <t>ОсОО "Коперникус"</t>
  </si>
  <si>
    <t>Мамытова Бактыгуль Шакидиевна</t>
  </si>
  <si>
    <t>ОсОО "GK Building"</t>
  </si>
  <si>
    <t>Зайнутдинов Ренат Фидаевич</t>
  </si>
  <si>
    <t>Кубеева Гульзат Камельжановна</t>
  </si>
  <si>
    <t>ОсОО "ТЕНЕЧИМ"</t>
  </si>
  <si>
    <t>ОсОО "Талас Петролиум"</t>
  </si>
  <si>
    <t>Базарматов Бекжан Усенкулович</t>
  </si>
  <si>
    <t>Мамбеткулов Азамат Тургунбекович</t>
  </si>
  <si>
    <t>Долубаев Авасбек Беккулович</t>
  </si>
  <si>
    <t>Болотов Нурлан Кочконбаевич</t>
  </si>
  <si>
    <t>ОсОО "Атлант-Ойл"</t>
  </si>
  <si>
    <t>ОсОО "Фабрика Чолпон"</t>
  </si>
  <si>
    <t>ОсОО "СЕВЕР-ЮГОЙЛ"</t>
  </si>
  <si>
    <t>ОсОО "Бона Транс"</t>
  </si>
  <si>
    <t>ОсОО "Альфаснаб"</t>
  </si>
  <si>
    <t>ОсОО "МОНТАУ Компани"</t>
  </si>
  <si>
    <t>ОсОО "Jimex Central Asia" (Жимекс Централ Азия)</t>
  </si>
  <si>
    <t>ОсОО "Нориус трейд"</t>
  </si>
  <si>
    <t>ОсОО "Гузер плюс"</t>
  </si>
  <si>
    <t>ОсОО "Кыргыз Мит Фуд"</t>
  </si>
  <si>
    <t>Сулайманов Бакытбек Ишенбаевич</t>
  </si>
  <si>
    <t>ОсОО "БК и Компани"</t>
  </si>
  <si>
    <t>ОсОО "ШАБАС"</t>
  </si>
  <si>
    <t>ОсОО "Фаворит холдинг"</t>
  </si>
  <si>
    <t>ОсОО "Кыргызфруктоовощ"</t>
  </si>
  <si>
    <t>ОсОО "Oktan-KG" (Октан-Кей Джи)</t>
  </si>
  <si>
    <t>ОсОО "Берекепром"</t>
  </si>
  <si>
    <t>Марат уулу Айбек</t>
  </si>
  <si>
    <t>Кудайбергенов Тилек Джолдошбекович</t>
  </si>
  <si>
    <t>Ногойбаев Азамат Жумакадырович</t>
  </si>
  <si>
    <t>Крайнюк Роман Иванович</t>
  </si>
  <si>
    <t>ОсОО "Берекет-Кен"</t>
  </si>
  <si>
    <t>Джолдошев Нурлан Шукуралиевич</t>
  </si>
  <si>
    <t>ОсОО "Мега Курулуш"</t>
  </si>
  <si>
    <t>Круцкий Николай Викторович</t>
  </si>
  <si>
    <t>ОсОО "ЮниТрейд ЛТД"</t>
  </si>
  <si>
    <t>ОсОО "Карбо Трейд"</t>
  </si>
  <si>
    <t>Сооронбаев Бактыбек Асекович</t>
  </si>
  <si>
    <t>Турдукулов Алимжан Аскарович</t>
  </si>
  <si>
    <t>ОсОО "АлНар"</t>
  </si>
  <si>
    <t>ОсОО "Кокор"</t>
  </si>
  <si>
    <t>ОсОО "Арлайн Групп"</t>
  </si>
  <si>
    <t>Мусуретбеков Санжар Абасбекович</t>
  </si>
  <si>
    <t>ОсОО "Алп Транс"</t>
  </si>
  <si>
    <t>Алайбек уулу Талантбек</t>
  </si>
  <si>
    <t>ОсОО "Аль-Бади"</t>
  </si>
  <si>
    <t>Нурбекова Бегайым Нурбековна</t>
  </si>
  <si>
    <t>Ахмет уулу Кубанычбек</t>
  </si>
  <si>
    <t>Ашимова Салтанат Камчибековна</t>
  </si>
  <si>
    <t>Абдразаков Бахтияр Кубатбекович</t>
  </si>
  <si>
    <t>Кубанычбеков Дамир Таалайбекович</t>
  </si>
  <si>
    <t>Шадыбекова Джамила Бекказиевна</t>
  </si>
  <si>
    <t>Иманалиев Азек Колбатбекович</t>
  </si>
  <si>
    <t>ОсОО "АРПА-ЖЕНИШ"</t>
  </si>
  <si>
    <t>Василенко Тамара Сергеевна</t>
  </si>
  <si>
    <t>ОсОО "Асман Транс"</t>
  </si>
  <si>
    <t>Чаргынов Урмат Амирович</t>
  </si>
  <si>
    <t>ОсОО "Lux Cement" (Люкс Цемент)</t>
  </si>
  <si>
    <t>ОсОО "Ад-Ал Курулуш"</t>
  </si>
  <si>
    <t>ОсОО "АЛЬ-ДЖАББАРУ"</t>
  </si>
  <si>
    <t>Мамбетова Айнура Анаркуловна</t>
  </si>
  <si>
    <t>Орозалиев Замир Шаршенбаевич</t>
  </si>
  <si>
    <t>Курманов Султан Келсинбекович</t>
  </si>
  <si>
    <t>ОсОО "Монтеро"</t>
  </si>
  <si>
    <t>Карпыков Жаныш Замирович</t>
  </si>
  <si>
    <t>Кылычбек кызы Чолпонай</t>
  </si>
  <si>
    <t>ОсОО "Мультиплан"</t>
  </si>
  <si>
    <t>ОсОО "МИА Айдана"</t>
  </si>
  <si>
    <t>Тургуналиев Темирлан Арынович</t>
  </si>
  <si>
    <t>Токторов Сыргак Турунбекович</t>
  </si>
  <si>
    <t>ОсОО "Азык Курулуш"</t>
  </si>
  <si>
    <t>ОсОО "Азия Сейшн"</t>
  </si>
  <si>
    <t>ОсОО "МадиКад"</t>
  </si>
  <si>
    <t>ОсОО "АРХИГРАД"</t>
  </si>
  <si>
    <t>ОсОО "АБ Транс Сервис"</t>
  </si>
  <si>
    <t>Туратбек уулу Рахат</t>
  </si>
  <si>
    <t>Саидбеков Эмирлан Дуйшоевич</t>
  </si>
  <si>
    <t>Насиров Шерали Султанбекович</t>
  </si>
  <si>
    <t>Аскарбек уулу Эркин</t>
  </si>
  <si>
    <t>ОсОО "СеТех"</t>
  </si>
  <si>
    <t>ОсОО "Сейтек"</t>
  </si>
  <si>
    <t>ОсОО "Булак Башат"</t>
  </si>
  <si>
    <t>ОсОО "Скаймарт"</t>
  </si>
  <si>
    <t>ОсОО "Жамал Трейд КЖ"</t>
  </si>
  <si>
    <t>ОсОО "БИГ Интернэшнл"</t>
  </si>
  <si>
    <t>ОсОО "Бакыт Ко"</t>
  </si>
  <si>
    <t>ОсОО "Интернейшнал Юнион"</t>
  </si>
  <si>
    <t>ОсОО "Клинлайн"</t>
  </si>
  <si>
    <t>ОсОО "Стар стил"</t>
  </si>
  <si>
    <t>ОсОО "СНТ Партнерс"</t>
  </si>
  <si>
    <t>ОсОО "Байдолот"</t>
  </si>
  <si>
    <t>ОсОО "БишкекПрофСтрой"</t>
  </si>
  <si>
    <t>ОсОО "Римаз Карго"</t>
  </si>
  <si>
    <t>ОсОО "Printhouse ltd"</t>
  </si>
  <si>
    <t>ОсОО "Event Deluxe by Salkynai Voinova"</t>
  </si>
  <si>
    <t>Умоталиев Эрлан Залкарбекович</t>
  </si>
  <si>
    <t>Бахидин уулу Курмангазы</t>
  </si>
  <si>
    <t>Самиев Сейитбек Калыкович</t>
  </si>
  <si>
    <t>Алпарова Гульбайра Дылдаевна</t>
  </si>
  <si>
    <t>Аскеров Ханахмед Мамедович</t>
  </si>
  <si>
    <t>Исаев Кабылбек Абдуганыевич</t>
  </si>
  <si>
    <t>Ташматова Махсуда Бекболотовна</t>
  </si>
  <si>
    <t>Орлов Александр Владимирович</t>
  </si>
  <si>
    <t>Сейталиева Алтынай Темиркуловна</t>
  </si>
  <si>
    <t>Наркулов Дамир Алчынбекович</t>
  </si>
  <si>
    <t>Айдарбеков Урмат Аликович</t>
  </si>
  <si>
    <t>Мырсалиев Алишер Ниясбекович</t>
  </si>
  <si>
    <t>Темиркан кызы Зайнаб</t>
  </si>
  <si>
    <t>Саитов Алмазбек Элчибекович</t>
  </si>
  <si>
    <t>ОсОО "М Строй Групп"</t>
  </si>
  <si>
    <t>ОсОО "Север Ойл"</t>
  </si>
  <si>
    <t>ОсОО "Стронг Райс"</t>
  </si>
  <si>
    <t xml:space="preserve">Абдырасул кызы Нурай </t>
  </si>
  <si>
    <t>Джекшенбиева Аида Ашырбековна</t>
  </si>
  <si>
    <t>Шамилова Гульетар Сурадденовна</t>
  </si>
  <si>
    <t>Лунева Юлия Валерьяновна</t>
  </si>
  <si>
    <t>Ким Галина Григорьевна</t>
  </si>
  <si>
    <t>Бейшеналиев Дуйшенбек Мамбетович</t>
  </si>
  <si>
    <t>Нусир Малик Шешерович</t>
  </si>
  <si>
    <t>Лунев Роман Владимирович</t>
  </si>
  <si>
    <t>Назиров Хамит Обитович</t>
  </si>
  <si>
    <t xml:space="preserve">Каныбек уулу Арсланбек </t>
  </si>
  <si>
    <t>Пеннер Виктор Валерьевич</t>
  </si>
  <si>
    <t>Койлюбаев Бакытбек Сатуалдыевич</t>
  </si>
  <si>
    <t>Султанов Руслан Сейтбаевич</t>
  </si>
  <si>
    <t>Садыралиев Дастан Джайлообекович</t>
  </si>
  <si>
    <t>Морозов Александр Владимирович</t>
  </si>
  <si>
    <t>Дауров Исхар Шимарович</t>
  </si>
  <si>
    <t>Чыныбаев Нурбек Тилекович</t>
  </si>
  <si>
    <t>Меркибаев Алибек Акматович</t>
  </si>
  <si>
    <t>Матаев Насирдин Колхозбекович</t>
  </si>
  <si>
    <t>Дженишбек уулу Нурсултан</t>
  </si>
  <si>
    <t>Кожомкулов Беримкул Бердыгулович</t>
  </si>
  <si>
    <t>Ибишев Руслан Фахрадинович</t>
  </si>
  <si>
    <t>Кожомкулов Арген Бердыгулович</t>
  </si>
  <si>
    <t>Джолдошбеков Султан Чалкарбекович</t>
  </si>
  <si>
    <t>Дуйшеналиев Улукбек Момуналиевич</t>
  </si>
  <si>
    <t>ОсОО "Сапар Мин-Куш"</t>
  </si>
  <si>
    <t>Джоробаев Тохтасын Касымжанович</t>
  </si>
  <si>
    <t>Ногойбаева Назгул Нурболотовна</t>
  </si>
  <si>
    <t>Белых Тимур Давлятович</t>
  </si>
  <si>
    <t>ОсОО "ЖАА Строй"</t>
  </si>
  <si>
    <t>ОсОО "Агро ААА"</t>
  </si>
  <si>
    <t>ОсОО "Унифлор"</t>
  </si>
  <si>
    <t>Идрисов Нурлан Идрисович</t>
  </si>
  <si>
    <t>Асыгалиев Бактыбек Карыбекович</t>
  </si>
  <si>
    <t>Ишмухамедов Давранжон Тахирович</t>
  </si>
  <si>
    <t>ОсОО "Батаба"</t>
  </si>
  <si>
    <t>ОсОО "Алькор трейд"</t>
  </si>
  <si>
    <t>ОсОО "Гранд Логистик Компани"</t>
  </si>
  <si>
    <t>ОсОО "Эверест Транс логистик"</t>
  </si>
  <si>
    <t>ОсОО "АвтоВосток"</t>
  </si>
  <si>
    <t>ОсОО "Монреаль Строй"</t>
  </si>
  <si>
    <t>Самаков Карганбек Садыкович</t>
  </si>
  <si>
    <t>ОсОО "КЭ Корп"</t>
  </si>
  <si>
    <t>ОсОО "ББ Энерджи"</t>
  </si>
  <si>
    <t>ОсОО "Буффало"</t>
  </si>
  <si>
    <t>ОсОО "Кыргыз Орнамент"</t>
  </si>
  <si>
    <t>ОсОО "Вертико Компани"</t>
  </si>
  <si>
    <t>ОсОО "Инпром"</t>
  </si>
  <si>
    <t>Чолпонкулова Люба Адыловна</t>
  </si>
  <si>
    <t>ОсОО "ИНК-Транс"</t>
  </si>
  <si>
    <t>Нурдинов Иззат Махмудович</t>
  </si>
  <si>
    <t>ОсОО "Н.Т.К."</t>
  </si>
  <si>
    <t>ОсОО "СРЕС Россия"</t>
  </si>
  <si>
    <t>ОсОО "Марианик"</t>
  </si>
  <si>
    <t>ОсОО "Мясокрай"</t>
  </si>
  <si>
    <t>ОсОО "Альфа Констракшн"</t>
  </si>
  <si>
    <t>ОсОО "Дельфа Групп"</t>
  </si>
  <si>
    <t>ОсОО "Альянс Торг"</t>
  </si>
  <si>
    <t>Зайнидинов Нурбек Зайнидинович</t>
  </si>
  <si>
    <t>Аблямитова Лейла Юсуфовна</t>
  </si>
  <si>
    <t>ОсОО "ЗОЛОТОЙ СТАНДАРТ К.А."</t>
  </si>
  <si>
    <t>ОсОО "Аманзай Ко ЛТД"</t>
  </si>
  <si>
    <t>ОсОО "Групп Строй KG" (Групп Строй КейДжи)</t>
  </si>
  <si>
    <t>ОсОО "АГЕМАНТ"</t>
  </si>
  <si>
    <t>ОсОО "Эмир гранд строй"</t>
  </si>
  <si>
    <t>ОсОО "МЗМ Строй"</t>
  </si>
  <si>
    <t>Максатов Руслан Максатович</t>
  </si>
  <si>
    <t>ОсОО "Decor Trading" (Декор Трэйдинг)</t>
  </si>
  <si>
    <t>ОсОО "Fortuna +"</t>
  </si>
  <si>
    <t>ОсОО "ПАРМ"</t>
  </si>
  <si>
    <t>ОсОО "Финито Компани"</t>
  </si>
  <si>
    <t>ОсОО "Paleo Group"</t>
  </si>
  <si>
    <t>ОсОО "БЕКАСОВ-Нур"</t>
  </si>
  <si>
    <t>Саяков Арген Айбекович</t>
  </si>
  <si>
    <t>ОсОО "ТехноТоргСервис"</t>
  </si>
  <si>
    <t>ОсОО "Аден Компани"</t>
  </si>
  <si>
    <t>ОсОО "Аконис"</t>
  </si>
  <si>
    <t>Доронин Александр Сергеевич</t>
  </si>
  <si>
    <t>ОсОО "Мурас-Мега"</t>
  </si>
  <si>
    <t>ОсОО "Нефрит компани"</t>
  </si>
  <si>
    <t>ОсОО "УМ Левел"</t>
  </si>
  <si>
    <t>ОсОО "Текстиль ОптТорг"</t>
  </si>
  <si>
    <t>ОсОО "Альянс Логистик"</t>
  </si>
  <si>
    <t>ОсОО "Барт Х.А.Р. Трейдинговая компания"</t>
  </si>
  <si>
    <t>ОсОО "Аверс Групп"</t>
  </si>
  <si>
    <t>Кабатаев Алмаз Доктурбекович</t>
  </si>
  <si>
    <t>ОсОО "Гарант Стиль"</t>
  </si>
  <si>
    <t>ОсОО "Astimo Trade" (Астимо Трейд)</t>
  </si>
  <si>
    <t>ОсОО "ЭЛТИМ"</t>
  </si>
  <si>
    <t>ОсОО "ТРАНСПОРТ СЕРВИС ЛОГИСТИК"</t>
  </si>
  <si>
    <t>ОсОО "Скай Лайт"</t>
  </si>
  <si>
    <t>ОсОО "Алкожо-Ата"</t>
  </si>
  <si>
    <t>ОсОО "Ак Барс Миллениум"</t>
  </si>
  <si>
    <t>ОсОО "Каперс"</t>
  </si>
  <si>
    <t>Аблямитова Фарида Сагитовна</t>
  </si>
  <si>
    <t>ОсОО "КОМСТРОЙ Компани"</t>
  </si>
  <si>
    <t>ОсОО "Стиль"</t>
  </si>
  <si>
    <t>ОсОО "МАГЕЛАН"</t>
  </si>
  <si>
    <t>ОсОО "Жиб-Ади-Строй"</t>
  </si>
  <si>
    <t>ОсОО "МАРКУС"</t>
  </si>
  <si>
    <t>Захаров Данил Геннадьевич</t>
  </si>
  <si>
    <t>Турабаев Канатбек Мамасалиевич</t>
  </si>
  <si>
    <t>ОсОО "Тянь- Шань Булак"</t>
  </si>
  <si>
    <t>Токтоналиева Асет Токтошевна</t>
  </si>
  <si>
    <t>Дамир уулу Тынчтык</t>
  </si>
  <si>
    <t>Субаналиева Гулбайра Итибаевна</t>
  </si>
  <si>
    <t>Жаманбаева Канымжан Кенешовна</t>
  </si>
  <si>
    <t>ОсОО "Хан-транспорт"</t>
  </si>
  <si>
    <t>ОсОО "БУРВОД"</t>
  </si>
  <si>
    <t>ОсОО "Айлин курулуш"</t>
  </si>
  <si>
    <t>ОсОО "Мунара Строй"</t>
  </si>
  <si>
    <t>Кулмурзаев Залкарбек Каримович</t>
  </si>
  <si>
    <t>ОсОО "Строительная Компания МУРАС"</t>
  </si>
  <si>
    <t>ОсОО "ЮгТранзит"</t>
  </si>
  <si>
    <t>Маматов Мелис Сапарбаевич</t>
  </si>
  <si>
    <t>ОсОО "ТС Трейдинг Строй"</t>
  </si>
  <si>
    <t>ОсОО "Алион Трейд"</t>
  </si>
  <si>
    <t>Райымжанов Нурбек Байышович</t>
  </si>
  <si>
    <t>ОсОО "БиЭмДжи Констракшн"</t>
  </si>
  <si>
    <t>ОсОО "Варол Тиджарет"</t>
  </si>
  <si>
    <t>ОсОО "ГЕЛИОН"</t>
  </si>
  <si>
    <t>ОсОО "XSEL GROUP" (КСЕЛ ГРУПП)</t>
  </si>
  <si>
    <t>Дуйшеева Гулнара Усоиновна</t>
  </si>
  <si>
    <t>Болотов Азатбек Кенешович</t>
  </si>
  <si>
    <t>ОсОО "Старт Бизнес"</t>
  </si>
  <si>
    <t>Габитов Данил Ахматович</t>
  </si>
  <si>
    <t>Токтоалыев Бекзат Токтоалыевич</t>
  </si>
  <si>
    <t>ОсОО "Транс-Континенталь"</t>
  </si>
  <si>
    <t>Кутчубаев Руслан Анарбекович</t>
  </si>
  <si>
    <t>ОсОО "Aviant Company" (Авиант Компани)</t>
  </si>
  <si>
    <t>ОсОО "Лунамоя"</t>
  </si>
  <si>
    <t>ОсОО "Сайбими"</t>
  </si>
  <si>
    <t>ОсОО "Юджин компани"</t>
  </si>
  <si>
    <t>ОсОО "Кыргыз тоок"</t>
  </si>
  <si>
    <t>ОсОО "ДеПрофиКомпани"</t>
  </si>
  <si>
    <t>ОсОО "Гуд Лайф"</t>
  </si>
  <si>
    <t>ОсОО "Нур-Лес"</t>
  </si>
  <si>
    <t>ОсОО "КОМЭЛ сервис"</t>
  </si>
  <si>
    <t>ОсОО "Агроопторг"</t>
  </si>
  <si>
    <t>ОсОО "Кери Стоун"</t>
  </si>
  <si>
    <t>ОсОО "Daikan Trade" (Дайкан Трейд)</t>
  </si>
  <si>
    <t>Баймуратова Шайлокул Абдыласовна</t>
  </si>
  <si>
    <t>Ким Василий Виссарионович</t>
  </si>
  <si>
    <t>ОсОО "Искендер и ко"</t>
  </si>
  <si>
    <t>Сагындык уулу Толкунбек</t>
  </si>
  <si>
    <t>ОсОО "Роберт РМП"</t>
  </si>
  <si>
    <t>ОсОО "Avist Group" (Авист Групп)</t>
  </si>
  <si>
    <t>Шадиев Султанбек Мамбетович</t>
  </si>
  <si>
    <t>ОсОО "Меконг Капитал"</t>
  </si>
  <si>
    <t>ОсОО "TANAT GROUP" (ТАНАТ ГРУПП)</t>
  </si>
  <si>
    <t>ОсОО "Монреаль Компани"</t>
  </si>
  <si>
    <t>ОсОО "Оргтранссервис"</t>
  </si>
  <si>
    <t>ОсОО "Брокерская контора "Сервис"</t>
  </si>
  <si>
    <t>ОсОО "СРБ Плюс"</t>
  </si>
  <si>
    <t>ОсОО "Мебель Инвест"</t>
  </si>
  <si>
    <t>ОсОО "Пистол"</t>
  </si>
  <si>
    <t>Керимкул кызы Чинара</t>
  </si>
  <si>
    <t>ОсОО "Пром Кей Джи"</t>
  </si>
  <si>
    <t>ОсОО "Лайт Торг"</t>
  </si>
  <si>
    <t>ОсОО "Этелис"</t>
  </si>
  <si>
    <t>ОсОО "Ютакс Трейд"</t>
  </si>
  <si>
    <t>ОсОО "Адор"</t>
  </si>
  <si>
    <t>ОсОО "Джи Эл Си групп"</t>
  </si>
  <si>
    <t>ОсОО "Сумайя Инвест Компани"</t>
  </si>
  <si>
    <t>ОсОО "Парус ТТ Логистик"</t>
  </si>
  <si>
    <t>ОсОО "Салиха Инвест Компани"</t>
  </si>
  <si>
    <t>ОсОО "Комфорт Трейд"</t>
  </si>
  <si>
    <t>Калбаев Максатбек Мусаевич</t>
  </si>
  <si>
    <t>ОсОО "Таш Япы"</t>
  </si>
  <si>
    <t>ОсОО "ФЛЮРА-ТЕХ СТРОЙ"</t>
  </si>
  <si>
    <t>Кан Олег Анатольевич</t>
  </si>
  <si>
    <t>ОсОО "ВЕНТУРА"</t>
  </si>
  <si>
    <t>ОсОО "Транзит Телеком"</t>
  </si>
  <si>
    <t>ОсОО "ЕвроСтандарт"</t>
  </si>
  <si>
    <t>ОсОО "НурПен Япы"</t>
  </si>
  <si>
    <t>ОсОО "Интеллектуальные системы безопасности"</t>
  </si>
  <si>
    <t>Сыдыков Чингиз Темирбекович</t>
  </si>
  <si>
    <t>ОсОО "Бейлиг"</t>
  </si>
  <si>
    <t>ОсОО "ТД Голд"</t>
  </si>
  <si>
    <t>ОсОО "MD Compani"</t>
  </si>
  <si>
    <t>Малтаева Асель Назарбековна</t>
  </si>
  <si>
    <t>ОсОО "BURANA STROY" (БУРАНА СТРОЙ)</t>
  </si>
  <si>
    <t>ОсОО "DIAMOND STAR" (ДАЙМОНД СТАР)</t>
  </si>
  <si>
    <t>ОсОО "Papillon" (Папиллон)</t>
  </si>
  <si>
    <t>ОсОО "Вирон трейд"</t>
  </si>
  <si>
    <t>ОсОО "Райтвил Групп"</t>
  </si>
  <si>
    <t>ОсОО "Саке-Трейд"</t>
  </si>
  <si>
    <t>Ажибраимов Руслан Уланович</t>
  </si>
  <si>
    <t>Неталиев Жакшылык Уметкулович</t>
  </si>
  <si>
    <t>ОсОО "Авест Фулл Голд"</t>
  </si>
  <si>
    <t>ОсОО "ДОС ТЖМ"</t>
  </si>
  <si>
    <t>ОсОО "Град Компани"</t>
  </si>
  <si>
    <t>Асанова Женишкул Алсеитовна</t>
  </si>
  <si>
    <t>Шабаза Махмут Турсунович</t>
  </si>
  <si>
    <t>Будайчиев Рахат Бакасович</t>
  </si>
  <si>
    <t>ОсОО "Уксар"</t>
  </si>
  <si>
    <t>Алымбек уулу Омуркул</t>
  </si>
  <si>
    <t>Абдылдаев Азамат Согушбекович</t>
  </si>
  <si>
    <t>ОсОО "Роспромстрой"</t>
  </si>
  <si>
    <t>ОсОО "Рапсодиа"</t>
  </si>
  <si>
    <t>Курманов Талгат Тазабекович</t>
  </si>
  <si>
    <t>Столбовой Михаил Сергеевич</t>
  </si>
  <si>
    <t>Эгембердиев Акимкан Коенбаевич</t>
  </si>
  <si>
    <t>Сыдыков Жангарач Омошевич</t>
  </si>
  <si>
    <t>ОсОО "Ордо Ойл Строй компани"</t>
  </si>
  <si>
    <t>ОсОО "Восточный капитал"</t>
  </si>
  <si>
    <t>ОсОО "Юг Строй Ойл Групп"</t>
  </si>
  <si>
    <t>ОсОО "ШУМ САРАЙ"</t>
  </si>
  <si>
    <t>ОсОО "Инком Профит"</t>
  </si>
  <si>
    <t>ОсОО "Айба и Компани"</t>
  </si>
  <si>
    <t>ОсОО "Караван Экспресс"</t>
  </si>
  <si>
    <t>ОсОО "Транс-Энерго-Ойл"</t>
  </si>
  <si>
    <t>ОсОО "Тимур Ойл"</t>
  </si>
  <si>
    <t>Ташбаев Кадыржан Арипович</t>
  </si>
  <si>
    <t>Дадабоев Сайпидин Астанович</t>
  </si>
  <si>
    <t>Шабданов Бакытбек Махкамович</t>
  </si>
  <si>
    <t>Тагаев Торобек Жананбаевич</t>
  </si>
  <si>
    <t>ОсОО "Интеркоммерц Компани"</t>
  </si>
  <si>
    <t>ОсОО "Азия МБА"</t>
  </si>
  <si>
    <t>ОсОО "Будай-Нан"</t>
  </si>
  <si>
    <t>ОсОО "АЗИЯ ТНК"</t>
  </si>
  <si>
    <t>ОсОО "Палладекс КР"</t>
  </si>
  <si>
    <t>ОсОО "Кайнар Трейд Групп"</t>
  </si>
  <si>
    <t>Мураталиева Жаныл Тологоновна</t>
  </si>
  <si>
    <t>Абдыкадырова Гульмира Кайбылдаевна</t>
  </si>
  <si>
    <t>Кадыркулов Мурат Мухтарбекович</t>
  </si>
  <si>
    <t>Джумабеков Джениш Салкынбекович</t>
  </si>
  <si>
    <t>Ормонов Мыктыбек Назарбекович</t>
  </si>
  <si>
    <t>Агыбетов Кубан Беккулович</t>
  </si>
  <si>
    <t>Султанкулов Мирлан Шаимбекович</t>
  </si>
  <si>
    <t>Маратов Адилет Маратович</t>
  </si>
  <si>
    <t>Мирлан уулу Берен</t>
  </si>
  <si>
    <t>Мунуров Улан Беккулович</t>
  </si>
  <si>
    <t>город Сулюкта</t>
  </si>
  <si>
    <t>ОсОО "Максим Групп"</t>
  </si>
  <si>
    <t>ОсОО "Кичи Оомат"</t>
  </si>
  <si>
    <t>ОсОО "СМ Групп"</t>
  </si>
  <si>
    <t>ОсОО "Беки плюс"</t>
  </si>
  <si>
    <t>ОсОО "Марсель +"</t>
  </si>
  <si>
    <t>ОсОО "Бай Бол Бизнес"</t>
  </si>
  <si>
    <t>ОсОО "Арууша"</t>
  </si>
  <si>
    <t>ОсОО "Магнит Экспресс"</t>
  </si>
  <si>
    <t>ОсОО "Шумкар-84"</t>
  </si>
  <si>
    <t>ОсОО "Айдан-строй"</t>
  </si>
  <si>
    <t>Ураимов Аббосбек Нематович</t>
  </si>
  <si>
    <t>ОсОО "БР КОМПАНИ"</t>
  </si>
  <si>
    <t>Орозобеков Мыктыбек Качкынбекович</t>
  </si>
  <si>
    <t>Асанбек уулу Алмаз</t>
  </si>
  <si>
    <t>Сулайманова Накинай Абдраимовна</t>
  </si>
  <si>
    <t>ОсОО "Амотекс Компани"</t>
  </si>
  <si>
    <t>Коргонбаев Майсалбек Базарбаевич</t>
  </si>
  <si>
    <t>Курманов Илияс Кубатбекович</t>
  </si>
  <si>
    <t>Омурзакова Динара Мухтаровна</t>
  </si>
  <si>
    <t>ОсОО "Avers KG" (Аверс Кей Джи)</t>
  </si>
  <si>
    <t>ОсОО "Cityplus trade" (Ситиплас трейд)</t>
  </si>
  <si>
    <t>ОсОО "Comp Technologies" (Комп Техноложис)</t>
  </si>
  <si>
    <t>ОсОО "Exellent-Курулуш" (Экселлент-Курулуш)</t>
  </si>
  <si>
    <t>ОсОО "Gold Business" (Голд Бизнес)</t>
  </si>
  <si>
    <t>ОсОО "Kiran Group" (Киран груп)</t>
  </si>
  <si>
    <t>ОсОО "OTRIS" (ОТРИС)</t>
  </si>
  <si>
    <t>ОсОО "Space Service" (Спейс Сервис)</t>
  </si>
  <si>
    <t>ОсОО "Аделина Компани"</t>
  </si>
  <si>
    <t>ОсОО "АзияТоргЭкспо"</t>
  </si>
  <si>
    <t>ОсОО "Ай-Бек-Ойл"</t>
  </si>
  <si>
    <t>ОсОО "Алитея"</t>
  </si>
  <si>
    <t>ОсОО "Альтекс"</t>
  </si>
  <si>
    <t>ОсОО "Амантай"</t>
  </si>
  <si>
    <t>ОсОО "Амиго-строй"</t>
  </si>
  <si>
    <t>ОсОО "Амиком"</t>
  </si>
  <si>
    <t>ОсОО "Амиралман"</t>
  </si>
  <si>
    <t>ОсОО "Арзантех"</t>
  </si>
  <si>
    <t>ОсОО "Арижан"</t>
  </si>
  <si>
    <t>ОсОО "Астронд"</t>
  </si>
  <si>
    <t>ОсОО "Вилд-Ком"</t>
  </si>
  <si>
    <t>ОсОО "ВШП Транс Групп"</t>
  </si>
  <si>
    <t>ОсОО "Гасс-Мейстер"</t>
  </si>
  <si>
    <t>ОсОО "Гермиона Трейд"</t>
  </si>
  <si>
    <t>ОсОО "Годэль"</t>
  </si>
  <si>
    <t>ОсОО "Голден Стейт"</t>
  </si>
  <si>
    <t>ОсОО "Гончарка груз"</t>
  </si>
  <si>
    <t>ОсОО "Гребень строй"</t>
  </si>
  <si>
    <t>ОсОО "Грин-Зон"</t>
  </si>
  <si>
    <t>ОсОО "Демил"</t>
  </si>
  <si>
    <t>ОсОО "Джарун"</t>
  </si>
  <si>
    <t>ОсОО "Доолот Строй Групп"</t>
  </si>
  <si>
    <t>ОсОО "Дордой-Сервис"</t>
  </si>
  <si>
    <t>ОсОО "Дрим Роуд"</t>
  </si>
  <si>
    <t>ОсОО "Дрон Сервер"</t>
  </si>
  <si>
    <t>ОсОО "Евразия Строй Кейджи"</t>
  </si>
  <si>
    <t>ОсОО "ИДИЛЛИЯ"</t>
  </si>
  <si>
    <t>ОсОО "Инфинити Сервис"</t>
  </si>
  <si>
    <t>ОсОО "Карус"</t>
  </si>
  <si>
    <t>ОсОО "Каспиан Ко"</t>
  </si>
  <si>
    <t>ОсОО "Кейс KG" (КейДжи)</t>
  </si>
  <si>
    <t>ОсОО "Кидик"</t>
  </si>
  <si>
    <t>ОсОО "Лаки-Групп"</t>
  </si>
  <si>
    <t>ОсОО "Макроленд"</t>
  </si>
  <si>
    <t>ОсОО "Мана-Групп"</t>
  </si>
  <si>
    <t>ОсОО "НУРТАЛ БЕТОН"</t>
  </si>
  <si>
    <t>ОсОО "Орис KG" (Орикс КейДжи)</t>
  </si>
  <si>
    <t>ОсОО "Портер Такси КейДжи"</t>
  </si>
  <si>
    <t>ОсОО "Пром Инвест"</t>
  </si>
  <si>
    <t>ОсОО "РемСтройБизнес"</t>
  </si>
  <si>
    <t>ОсОО "РудТрансСтрой"</t>
  </si>
  <si>
    <t>ОсОО "Сакура-Сервис"</t>
  </si>
  <si>
    <t>ОсОО "Сан-Райз KG"</t>
  </si>
  <si>
    <t>ОсОО "Сириус Трэйд"</t>
  </si>
  <si>
    <t>ОсОО "СнабЭнергоСервис"</t>
  </si>
  <si>
    <t>ОсОО "СпецПромСтрой"</t>
  </si>
  <si>
    <t>ОсОО "СТЕН"</t>
  </si>
  <si>
    <t>ОсОО "ТНМ Голд"</t>
  </si>
  <si>
    <t>ОсОО "Торговая компания "Континент"</t>
  </si>
  <si>
    <t>ОсОО "Фарма Гарант"</t>
  </si>
  <si>
    <t>ОсОО "Форвард Билд"</t>
  </si>
  <si>
    <t>ОсОО "ФРУТОС"</t>
  </si>
  <si>
    <t>ОсОО "Фундамент Компани"</t>
  </si>
  <si>
    <t>ОсОО "Чон-Кулун"</t>
  </si>
  <si>
    <t>ОсОО "Эйр Кейтеринг"</t>
  </si>
  <si>
    <t>ОсОО "ЭКС-ИМ ФУД"</t>
  </si>
  <si>
    <t>ОсОО "Электро-Тулл"</t>
  </si>
  <si>
    <t>ОсОО "Эль-Шаадай"</t>
  </si>
  <si>
    <t>ОсОО "ЭМАК-Курулуш"</t>
  </si>
  <si>
    <t>ОсОО "ЭМАТ"</t>
  </si>
  <si>
    <t>ОсОО "ЭРК имарат"</t>
  </si>
  <si>
    <t>Салохидинов Султан Салохидинович</t>
  </si>
  <si>
    <t>Ала-Букинский район</t>
  </si>
  <si>
    <t>город Баткен</t>
  </si>
  <si>
    <t>Сумма задолженности 
(тыс. сом)</t>
  </si>
  <si>
    <t>ОсОО "Нурнефтегаз"</t>
  </si>
  <si>
    <t>ОАО "Нарынгидроэнергострой"</t>
  </si>
  <si>
    <t>ОсОО "Завод строительных материалов"</t>
  </si>
  <si>
    <t>Всего по республике</t>
  </si>
  <si>
    <t>город Майлуу-Суу</t>
  </si>
  <si>
    <t>Коконбаев Руслан Сагындыкович</t>
  </si>
  <si>
    <t>Токтогульский район</t>
  </si>
  <si>
    <t>Отогенов Ринат Молдобекович</t>
  </si>
  <si>
    <t>Бактыбеков Табылды Бактыбекович</t>
  </si>
  <si>
    <t>ОсОО "Интер Торг"</t>
  </si>
  <si>
    <t>ОсОО "ТАТСА"</t>
  </si>
  <si>
    <t>ОсОО "Комфорт Строй"</t>
  </si>
  <si>
    <t>ОсОО "Бинефт"</t>
  </si>
  <si>
    <t>ОсОО "Дары Востока"</t>
  </si>
  <si>
    <t>Маматазизов Абдуназар Маматазизович</t>
  </si>
  <si>
    <t>ОсОО "Бектур-ХХI век"</t>
  </si>
  <si>
    <t>ОсОО "БМД Премиум"</t>
  </si>
  <si>
    <t>Айдарова Эльмира Чалагызовна</t>
  </si>
  <si>
    <t>ОсОО "Анвантрейд"</t>
  </si>
  <si>
    <t>ОсОО "Emprise"</t>
  </si>
  <si>
    <t>ОсОО "TRADE-PUSK"</t>
  </si>
  <si>
    <t>ОсОО "Стройком групп"</t>
  </si>
  <si>
    <t>Баймуратов Атамырза Эргешович</t>
  </si>
  <si>
    <t>Аширбаева Разия Вахаповна</t>
  </si>
  <si>
    <t>Токтобаев Рустам Бейшенбекович</t>
  </si>
  <si>
    <t>ОсОО "DAMIR TRANSPORT"</t>
  </si>
  <si>
    <t>Арыстанбек уулу Мирбек</t>
  </si>
  <si>
    <t>ОсОО "Бишкекпромпроект"</t>
  </si>
  <si>
    <t>ОсОО "МАТЕ Компани"</t>
  </si>
  <si>
    <t>ОсОО "КейДжи Голд"</t>
  </si>
  <si>
    <t>ОсОО "Евразия Транзит Карго"</t>
  </si>
  <si>
    <t>Асанкулов Нуран Нурдинович</t>
  </si>
  <si>
    <t>Карымшаков Талант Нуркулович</t>
  </si>
  <si>
    <t>Рыскулов Асаналы Бейшеналиевич</t>
  </si>
  <si>
    <t>Тогуз-Тороузский район</t>
  </si>
  <si>
    <t>Яров Рашид Сафурович</t>
  </si>
  <si>
    <t>ОсОО "Рост прогресс"</t>
  </si>
  <si>
    <t>Узгенский район</t>
  </si>
  <si>
    <t>ОсОО "Ак-Була Текстиль"</t>
  </si>
  <si>
    <t>ОсОО "Мастер Дом"</t>
  </si>
  <si>
    <t>ОсОО "Эс Кей Ди Эн Си"</t>
  </si>
  <si>
    <t>ОсОО "Консалт Карго"</t>
  </si>
  <si>
    <t>ОсОО "SAFINA" (САФИНА)</t>
  </si>
  <si>
    <t>ОсОО "Мастер Ок"</t>
  </si>
  <si>
    <t>ОсОО "Торговый дом "ВЫБОР"</t>
  </si>
  <si>
    <t>ОсОО "Асани"</t>
  </si>
  <si>
    <t>Момунов Кубанычбек Жумабаевич</t>
  </si>
  <si>
    <t>Канатбеков Уланбек Канатбекович</t>
  </si>
  <si>
    <t>ОсОО "Охранное Агентство "Атом"</t>
  </si>
  <si>
    <t>ОсОО "Ипомея"</t>
  </si>
  <si>
    <t>ОсОО "Дрим Хоум"</t>
  </si>
  <si>
    <t>Бурканов Арстанбек Райымбекович</t>
  </si>
  <si>
    <t>ОсОО "Таргет-Бизнес"</t>
  </si>
  <si>
    <t>ОсОО "Харвест Групп"</t>
  </si>
  <si>
    <t>ОсОО "Ифстарком"</t>
  </si>
  <si>
    <t>ОсОО "Кема Транс"</t>
  </si>
  <si>
    <t>ОсОО "Дем Трейдинг"</t>
  </si>
  <si>
    <t>Аманкулов Алмазбек Аманкулович</t>
  </si>
  <si>
    <t>Сарпашов Абелбек Тазабекович</t>
  </si>
  <si>
    <t>Саматов Данияр Манасович</t>
  </si>
  <si>
    <t>ОсОО "Абад Транс"</t>
  </si>
  <si>
    <t>ОсОО "Ганди ЛТД"</t>
  </si>
  <si>
    <t>ОсОО "Беркут Строй"</t>
  </si>
  <si>
    <t>Абдазизов Жоробек Эгембердиевич</t>
  </si>
  <si>
    <t>Ташматов Алишери Арипжанович</t>
  </si>
  <si>
    <t>ОсОО "Эл-Булак-Азиз"</t>
  </si>
  <si>
    <t>Вахабов Ильёзбек Исраилджанович</t>
  </si>
  <si>
    <t>Мамаджанов Дилшод Сухбатыллоевич</t>
  </si>
  <si>
    <t>Мамасали уулу Нургаазы</t>
  </si>
  <si>
    <t>Азамходжаева Хуршида Сайдабаровна</t>
  </si>
  <si>
    <t>ОсОО "Кадыр ЛТД"</t>
  </si>
  <si>
    <t>ОсОО "Эрнур ЛТД"</t>
  </si>
  <si>
    <t>Абдыкадыров Жумабек Толонбаевич</t>
  </si>
  <si>
    <t>Макенова Айкокуль Нурланбековна</t>
  </si>
  <si>
    <t>ОсОО "Управляющая компания Энергия"</t>
  </si>
  <si>
    <t>Марленов Орозбек Марленович</t>
  </si>
  <si>
    <t>Капаров Даныл Исраилович</t>
  </si>
  <si>
    <t>Абдуразаков Мамыр Муралимжанович</t>
  </si>
  <si>
    <t>Кубаныч уулу Сталбек</t>
  </si>
  <si>
    <t>Эргешов Шамшибек Камчыбекович</t>
  </si>
  <si>
    <t>ОсОО "Довуд Карго"</t>
  </si>
  <si>
    <t>ОсОО "Креатив Строй"</t>
  </si>
  <si>
    <t>ОсОО "Рахат Компани"</t>
  </si>
  <si>
    <t>ОсОО "Бизнес Трейд Инвест"</t>
  </si>
  <si>
    <t>ОсОО "Азия Каганат"</t>
  </si>
  <si>
    <t>Нурматов Алмаз Эгембердиевич</t>
  </si>
  <si>
    <t>ОсОО "МАНС ЛТД"</t>
  </si>
  <si>
    <t>ОсОО "Биннут"</t>
  </si>
  <si>
    <t>ОсОО "Ханзада Строй"</t>
  </si>
  <si>
    <t>ОсОО "Чайна Экспорт"</t>
  </si>
  <si>
    <t>Жээнбеков Нурсултан Бакытбекович</t>
  </si>
  <si>
    <t>ОсОО "Бек и Ко"</t>
  </si>
  <si>
    <t>Хайдаров Абдураим Абдуманапович</t>
  </si>
  <si>
    <t>ОсОО "Юг Строй групп"</t>
  </si>
  <si>
    <t>Калмурзаев Алмарс Бапоевич</t>
  </si>
  <si>
    <t>ОсОО "Йа Кадыр"</t>
  </si>
  <si>
    <t>Исамидин кызы Рахима</t>
  </si>
  <si>
    <t>ОсОО "Флорун"</t>
  </si>
  <si>
    <t>Суванкулов Илязбек Мурадылович</t>
  </si>
  <si>
    <t>ОсОО "Перевозчики"</t>
  </si>
  <si>
    <t>Атабаев Расул Абдуманапович</t>
  </si>
  <si>
    <t>ОсОО "АСУР"</t>
  </si>
  <si>
    <t>ОсОО "Азия Интер Логистик"</t>
  </si>
  <si>
    <t>ОсОО "Алтын Кум ЛТД"</t>
  </si>
  <si>
    <t>Эрматов Шавкатилло Хабибуллаевич</t>
  </si>
  <si>
    <t>ОсОО "Интер Ойл Строй"</t>
  </si>
  <si>
    <t>ОсОО "Каркыра"</t>
  </si>
  <si>
    <t>Байжумаева Анаркуль Сагындыковна</t>
  </si>
  <si>
    <t>Акматалиева Салтанат Максутовна</t>
  </si>
  <si>
    <t>ОсОО "Сертификат-Логист"</t>
  </si>
  <si>
    <t>ОсОО "Сома"</t>
  </si>
  <si>
    <t>ОсОО "Гималай А"</t>
  </si>
  <si>
    <t>Ташбаев Ынтызар Кувандыкович</t>
  </si>
  <si>
    <t>ОсОО "ЖООРТПОС"</t>
  </si>
  <si>
    <t>ОсОО "Интер-Ком"</t>
  </si>
  <si>
    <t>Ноокенский район</t>
  </si>
  <si>
    <t>ОсОО "Кыргызская нефтяная инженерно-технологическая компания "Кы Тай"</t>
  </si>
  <si>
    <t>Курбанбаев Бабыржан Мамиржанович</t>
  </si>
  <si>
    <t>ОсОО "Ками-Азиз"</t>
  </si>
  <si>
    <t>Мамытов Усонбек Жоробекович</t>
  </si>
  <si>
    <t>Кадамжайский район</t>
  </si>
  <si>
    <t>ОсОО "Магнат-Метал ОЙЛ"</t>
  </si>
  <si>
    <t>Суранов Аслан Чананбаевич</t>
  </si>
  <si>
    <t>Доорова Болдухан Эшназаровна</t>
  </si>
  <si>
    <t>Балтабаева Айнура Ашуралиевна</t>
  </si>
  <si>
    <t>ОсОО "Престиж Строй"</t>
  </si>
  <si>
    <t>Таджибаев Абдухаким Абдрахимович</t>
  </si>
  <si>
    <t>Нурдинов Азамат Илимбекович</t>
  </si>
  <si>
    <t>Жармухамедов Сухраб Каримжанович</t>
  </si>
  <si>
    <t>ОсОО "Инвикта Компани"</t>
  </si>
  <si>
    <t>ОсОО "Оомат-аруу"</t>
  </si>
  <si>
    <t>ОсОО "Толкун Трейд"</t>
  </si>
  <si>
    <t>ОсОО "Эмгек Групп"</t>
  </si>
  <si>
    <t>ОсОО "Имэкс Лес КГ"</t>
  </si>
  <si>
    <t>ОсОО "ТСН Групп"</t>
  </si>
  <si>
    <t>ОсОО "Успех Агро КейДжи"</t>
  </si>
  <si>
    <t>Кургинов Яков Николаевич</t>
  </si>
  <si>
    <t>ОсОО "Бизнес-ВВ"</t>
  </si>
  <si>
    <t>ОсОО "Сатира"</t>
  </si>
  <si>
    <t>Савенков Олег Николаевич</t>
  </si>
  <si>
    <t>Кыштобаев Улан Мелисович</t>
  </si>
  <si>
    <t>Карагулов Талантбек Кубанычбекович</t>
  </si>
  <si>
    <t>Молдалиев Авасбек Исенбаевич</t>
  </si>
  <si>
    <t>Резанов Олег Григорьевич</t>
  </si>
  <si>
    <t>Кумсиев Емир Зарбегович</t>
  </si>
  <si>
    <t>Сагымбаев Медер Туголбаевич</t>
  </si>
  <si>
    <t>Сапаров Абдибахап Абдиманнапович</t>
  </si>
  <si>
    <t>Мусуркулова Нурида Жайнаковна</t>
  </si>
  <si>
    <t>Сейилканов Руслан Эрикович</t>
  </si>
  <si>
    <t>Аматкулова Гулькан Бодуковна</t>
  </si>
  <si>
    <t>Талант уулу Канат</t>
  </si>
  <si>
    <t>Алыбаев Эдвард Мадылбекович</t>
  </si>
  <si>
    <t>Нурланов Элдияр Нурланович</t>
  </si>
  <si>
    <t>Эркеев Марлис Жетимишович</t>
  </si>
  <si>
    <t>Сапарбеков Алмазбек Сапарбекович</t>
  </si>
  <si>
    <t>Киримбеков Алтынбек Сиимкулович</t>
  </si>
  <si>
    <t>Джандаралиева Мира Шаршеновна</t>
  </si>
  <si>
    <t>Мамытов Азат Исаевич</t>
  </si>
  <si>
    <t>ОсОО "Морской Дракон"</t>
  </si>
  <si>
    <t>Кангельдиева Айгуль Аманбековна</t>
  </si>
  <si>
    <t>Таалайбеков Улан Таалайбекович</t>
  </si>
  <si>
    <t>ОсОО "Гидрант-тех"</t>
  </si>
  <si>
    <t>Груздилова Оксана Викторовна</t>
  </si>
  <si>
    <t>Суеркулов Чоро Эсенбекович</t>
  </si>
  <si>
    <t>ОсОО "Winterok" (Винтерок)</t>
  </si>
  <si>
    <t>ОсОО "СпецСвязьСервис"</t>
  </si>
  <si>
    <t>ОсОО "Фрукты Кей Джи"</t>
  </si>
  <si>
    <t>Шабатоев Тимур Русланович</t>
  </si>
  <si>
    <t>ОсОО "Имотэк Групп"</t>
  </si>
  <si>
    <t>ОсОО "ХАН Компани"</t>
  </si>
  <si>
    <t>ОсОО "Таш-Рабат"</t>
  </si>
  <si>
    <t>ОсОО "Аман-Бизнес"</t>
  </si>
  <si>
    <t>ОсОО "Инвест Строй Групп"</t>
  </si>
  <si>
    <t>ОсОО "Береке-Травертин"</t>
  </si>
  <si>
    <t>Жунушев Таалайбек Советович</t>
  </si>
  <si>
    <t>ОсОО "МАКЕ Строй"</t>
  </si>
  <si>
    <t>ОсОО "Чолпон-Ойл"</t>
  </si>
  <si>
    <t>ОсОО "РОС ЖОЛУ"</t>
  </si>
  <si>
    <t>Эмильбеков Азирет Эмильбекович</t>
  </si>
  <si>
    <t>ОсОО "Балыкчы арагы"</t>
  </si>
  <si>
    <t>Жакшылыкова Дамира Умеровна</t>
  </si>
  <si>
    <t>Абасов Кубан Жаныбекович</t>
  </si>
  <si>
    <t>Касмамбетова Сырга Омуралиевна</t>
  </si>
  <si>
    <t>Турсуниязова Аида Айдарбековна</t>
  </si>
  <si>
    <t>ОсОО "Даража-инвест"</t>
  </si>
  <si>
    <t>ОсОО "Амин Групп"</t>
  </si>
  <si>
    <t>ОсОО "Евро-Магнат"</t>
  </si>
  <si>
    <t>Бегалиев Ырысменде Тургунович</t>
  </si>
  <si>
    <t>Курбанбек уулу Жыргалбек</t>
  </si>
  <si>
    <t>Карыбеков Ырысбек Бакаевич</t>
  </si>
  <si>
    <t>Калык уулу Эрлан</t>
  </si>
  <si>
    <t>Кадыров Алмазбек Шакирович</t>
  </si>
  <si>
    <t>Кулмамбетова Нуржан Тагайболотовна</t>
  </si>
  <si>
    <t>Кыдырмышов Асаналы Бексултанович</t>
  </si>
  <si>
    <t>Кенджиев Дияз Нурмухамедович</t>
  </si>
  <si>
    <t>Маматов Максатбек Сабитбаевич</t>
  </si>
  <si>
    <t>Мансуров Давран Абдумаликович</t>
  </si>
  <si>
    <t>Молдобачаев Орунбек Джолдошказиевич</t>
  </si>
  <si>
    <t>Муратов Бактыбек Майрамбекович</t>
  </si>
  <si>
    <t>ОсОО "Maxi Food" (Макси Фуд)</t>
  </si>
  <si>
    <t>ОсОО "MAXI sales" (МАКСИ сэйлс)</t>
  </si>
  <si>
    <t>ОсОО "Miotronix" (Миотроникс)</t>
  </si>
  <si>
    <t>Осмоналиев Кубанычбек Джелденович</t>
  </si>
  <si>
    <t>Орленко Евгений Евгеньевич</t>
  </si>
  <si>
    <t>Абылгазы уулу Аскар</t>
  </si>
  <si>
    <t>Адамбеков Акбар Русланбекович</t>
  </si>
  <si>
    <t>Аманалиев Эрлан Бообекович</t>
  </si>
  <si>
    <t>Аманкулов Назар Аманкулович</t>
  </si>
  <si>
    <t>Ногербеков Сергей Муфтиевич</t>
  </si>
  <si>
    <t>Жумабекова Элмира Абдыкарыевна</t>
  </si>
  <si>
    <t>Жумабекова Эдита Курманбековна</t>
  </si>
  <si>
    <t>Демченко Геннадий Васильевич</t>
  </si>
  <si>
    <t>Джумабеков Улукбек Кубанычбекович</t>
  </si>
  <si>
    <t>Баякунова Светлана Ашымовна</t>
  </si>
  <si>
    <t>ОсОО "Бишкек Транс Логистик"</t>
  </si>
  <si>
    <t>ОсОО "Бивотер"</t>
  </si>
  <si>
    <t>ОсОО "Бизнес Виктори"</t>
  </si>
  <si>
    <t>ОсОО "Брейнберри"</t>
  </si>
  <si>
    <t>ОсОО "Босфор Юнион"</t>
  </si>
  <si>
    <t>ОсОО "Бета Логистик"</t>
  </si>
  <si>
    <t>ЗАО "КОРСТОН"</t>
  </si>
  <si>
    <t>ЗАО "Consolidated Aurum" (Консолидейтед Аурум)</t>
  </si>
  <si>
    <t>ОсОО "АВАТ Строй"</t>
  </si>
  <si>
    <t>ОсОО "Адванс Логистик"</t>
  </si>
  <si>
    <t>ОсОО "АДИСЭМ"</t>
  </si>
  <si>
    <t>ОсОО "Адиярд"</t>
  </si>
  <si>
    <t>ОсОО "Айросс"</t>
  </si>
  <si>
    <t>ОсОО "Актан Строй Групп"</t>
  </si>
  <si>
    <t>ОсОО "Алан Транс"</t>
  </si>
  <si>
    <t>ОсОО "Алга Курулуш"</t>
  </si>
  <si>
    <t>ОсОО "Алянс Кити"</t>
  </si>
  <si>
    <t>ОсОО "Амариллис"</t>
  </si>
  <si>
    <t>ОсОО "АРТЭКС"</t>
  </si>
  <si>
    <t>ОсОО "Асыл Истейт"</t>
  </si>
  <si>
    <t>ОсОО "Асыл Тас-К"</t>
  </si>
  <si>
    <t>ОсОО "Ашуу-Булак"</t>
  </si>
  <si>
    <t>ОсОО "ВЭСТ Компани"</t>
  </si>
  <si>
    <t>ОсОО "Вивамус Азия"</t>
  </si>
  <si>
    <t>ОсОО "Вестел Бишкек"</t>
  </si>
  <si>
    <t>ОсОО "Витраж Маркет"</t>
  </si>
  <si>
    <t>ОсОО "Властелин"</t>
  </si>
  <si>
    <t>ОсОО "Волтэк Групп"</t>
  </si>
  <si>
    <t>ОсОО "NEOR" (НЭОР)</t>
  </si>
  <si>
    <t>ОсОО "Сунтар-Бишкек"</t>
  </si>
  <si>
    <t>ОсОО "Би-Старт"</t>
  </si>
  <si>
    <t>ЗАО "Чуйское УСМ"</t>
  </si>
  <si>
    <t>ОсОО "Прайма-трейд"</t>
  </si>
  <si>
    <t>ОсОО "ЧАР"</t>
  </si>
  <si>
    <t>ОАО "Хан-Тенгри"</t>
  </si>
  <si>
    <t>ОсОО "ЮСЮ"</t>
  </si>
  <si>
    <t>ОсОО "ВИЗАРД"</t>
  </si>
  <si>
    <t>ОАО "Северэлектро"</t>
  </si>
  <si>
    <t>ЗАО "Центр Азия Уголь"</t>
  </si>
  <si>
    <t>ОАО "Судостроительно-судоремонтное АО "Ак-Кеме"</t>
  </si>
  <si>
    <t>ОсОО "Бакайата-Транс-Сервис"</t>
  </si>
  <si>
    <t>ОсОО "Мен"</t>
  </si>
  <si>
    <t>ОсОО "Алтын Групп Кей Джи"</t>
  </si>
  <si>
    <t>ОсОО "Умак строй"</t>
  </si>
  <si>
    <t>ОсОО "Байланыш груп"</t>
  </si>
  <si>
    <t>ОсОО "Голден Саншайн"</t>
  </si>
  <si>
    <t>Губаренко Сергей Александрович</t>
  </si>
  <si>
    <t>ОсОО "Галит Трейд"</t>
  </si>
  <si>
    <t>Гусев Сергей Николаевич</t>
  </si>
  <si>
    <t>Буланбеков Бурхан Доолотбекович</t>
  </si>
  <si>
    <t>Баткенский район</t>
  </si>
  <si>
    <t>ОсОО "Дуваташ"</t>
  </si>
  <si>
    <t>ОсОО "АЙТ-КЕН"</t>
  </si>
  <si>
    <t>ОсОО "Абу-Файз"</t>
  </si>
  <si>
    <t>ОсОО "Биг Строй"</t>
  </si>
  <si>
    <t>ОсОО "ИМКОН"</t>
  </si>
  <si>
    <t>Маратбеков Эркин Маратбекович</t>
  </si>
  <si>
    <t>Калчаева Джейдекан Усеновна</t>
  </si>
  <si>
    <t>ОсОО "Санук"</t>
  </si>
  <si>
    <t>Стамбаев Нураалы Уланович</t>
  </si>
  <si>
    <t>Бебеза Джумаш Юнурович</t>
  </si>
  <si>
    <t>Супотаев Алмазбек Молдокадырович</t>
  </si>
  <si>
    <t>ОсОО "Органикс натурал фуд"</t>
  </si>
  <si>
    <t>Жоломанова Асель Памирбековна</t>
  </si>
  <si>
    <t>Мусаева Филора Зулалиевна</t>
  </si>
  <si>
    <t>Адылов Азиз Абдыганиевич</t>
  </si>
  <si>
    <t>Магомедов Гамзат Магомедгаджиевич</t>
  </si>
  <si>
    <t>Турсуналиев Азизбек Кубанычбекович</t>
  </si>
  <si>
    <t>ОсОО "Лаллана Трейд"</t>
  </si>
  <si>
    <t>ОсОО "Ала ТВ"</t>
  </si>
  <si>
    <t>ОсОО "Суан-Ойл"</t>
  </si>
  <si>
    <t>ОсОО "ТАТУ-КУРУЛУШ групп"</t>
  </si>
  <si>
    <t>ОсОО "Мега Строй групп"</t>
  </si>
  <si>
    <t>ОсОО "Калпак Карго"</t>
  </si>
  <si>
    <t>ОсОО "Экспо Трейдинг"</t>
  </si>
  <si>
    <t>ОсОО "КМК Петролеум"</t>
  </si>
  <si>
    <t>Касымов Таалай Султангазиевич</t>
  </si>
  <si>
    <t>Преображенский Олег Александрович</t>
  </si>
  <si>
    <t>ОсОО "БишкекГлавГрупп"</t>
  </si>
  <si>
    <t>ОсОО "БСМ Кей Джи"</t>
  </si>
  <si>
    <t>ОсОО "Джоб. Кей Джи"</t>
  </si>
  <si>
    <t>ОсОО "ПрофитПетролиумКомпани"</t>
  </si>
  <si>
    <t>ОсОО "ЭКОВИРМ"</t>
  </si>
  <si>
    <t>ОсОО "Жазз Индастриз Кэйджи"</t>
  </si>
  <si>
    <t>ОсОО "Азия-Карго Плюс"</t>
  </si>
  <si>
    <t>ОсОО "Lernet" (Лернэт)</t>
  </si>
  <si>
    <t>ОсОО "Lextor Company" (Лекстор Компани)</t>
  </si>
  <si>
    <t>ОсОО "Айлинэйр Компани"</t>
  </si>
  <si>
    <t>ОсОО "АРТ-Капитал"</t>
  </si>
  <si>
    <t>ОсОО "БекКут и Д"</t>
  </si>
  <si>
    <t>ОсОО "БИ-НЕВР"</t>
  </si>
  <si>
    <t>ОсОО "Гранд Электроникс Стаф"</t>
  </si>
  <si>
    <t>ОсОО "Диватон"</t>
  </si>
  <si>
    <t>ОсОО "Дилер Клуб"</t>
  </si>
  <si>
    <t>ОсОО "ДКС"</t>
  </si>
  <si>
    <t>ОсОО "Жанар Суу"</t>
  </si>
  <si>
    <t>ОсОО "Зенит Пауэр"</t>
  </si>
  <si>
    <t>ОсОО "Интей компани"</t>
  </si>
  <si>
    <t>ОсОО "Интерсервис-НТВ"</t>
  </si>
  <si>
    <t>ОсОО "Караван транс авто"</t>
  </si>
  <si>
    <t>ОсОО "Карат-Ойл"</t>
  </si>
  <si>
    <t>ОсОО "Кашка-Суу Транспорт"</t>
  </si>
  <si>
    <t>ОсОО "К Жолдору"</t>
  </si>
  <si>
    <t>ОсОО "КЛАБ Технологии"</t>
  </si>
  <si>
    <t>ОсОО "Компания ЗВК Продсервис"</t>
  </si>
  <si>
    <t>ОсОО "Консалт Трэйд"</t>
  </si>
  <si>
    <t>ОсОО "Кыргыз Голд Ко"</t>
  </si>
  <si>
    <t>ОсОО "Кыргыз Инвест"</t>
  </si>
  <si>
    <t>ОсОО "Лондон"</t>
  </si>
  <si>
    <t>ОсОО "Мартин"</t>
  </si>
  <si>
    <t>ОсОО "Мастер Профи Групп"</t>
  </si>
  <si>
    <t>ОсОО "Милира"</t>
  </si>
  <si>
    <t>ОсОО "Мираж Трейд"</t>
  </si>
  <si>
    <t>ОсОО "Мирей"</t>
  </si>
  <si>
    <t>ОсОО "Мир Транс Азия"</t>
  </si>
  <si>
    <t>ОсОО "Неска"</t>
  </si>
  <si>
    <t>ОсОО "НоблПромпт Партнерс"</t>
  </si>
  <si>
    <t>ОсОО "Номад Трейд"</t>
  </si>
  <si>
    <t>ОсОО "Нуржигит Трейд Сервис"</t>
  </si>
  <si>
    <t>ОсОО "Нью Прогресс Капитал"</t>
  </si>
  <si>
    <t>ОсОО "Орнамент Строй"</t>
  </si>
  <si>
    <t>ОсОО "Пластэрика"</t>
  </si>
  <si>
    <t>ОсОО "Пневмоплюс"</t>
  </si>
  <si>
    <t>ОсОО "ПОЛЮС"</t>
  </si>
  <si>
    <t>ОсОО "Практикал"</t>
  </si>
  <si>
    <t>ОсОО "Примма Бой"</t>
  </si>
  <si>
    <t>ОсОО "Прод Агро"</t>
  </si>
  <si>
    <t>ОсОО "Раййан"</t>
  </si>
  <si>
    <t>ОсОО "РОСКОММЕРЦ"</t>
  </si>
  <si>
    <t>ОсОО "РОС КУР"</t>
  </si>
  <si>
    <t>ОсОО "СТУДИЯ-А"</t>
  </si>
  <si>
    <t>ОсОО "Сусар"</t>
  </si>
  <si>
    <t>ОсОО "Сэттори Компани"</t>
  </si>
  <si>
    <t>ОсОО "Тайр Пойнт Азия"</t>
  </si>
  <si>
    <t>ОсОО "ТД Казанский"</t>
  </si>
  <si>
    <t>ОсОО "ТДМ-Групп"</t>
  </si>
  <si>
    <t>ОсОО "Тегене"</t>
  </si>
  <si>
    <t>ОсОО "Тенир-Тоо мрамор"</t>
  </si>
  <si>
    <t>ОсОО "Термо-Фасад"</t>
  </si>
  <si>
    <t>ОсОО "ТЖК Строй"</t>
  </si>
  <si>
    <t>ОсОО "ТКБ профи"</t>
  </si>
  <si>
    <t>ОсОО "ТМТ и КО"</t>
  </si>
  <si>
    <t>ОсОО "Тоби-Ган"</t>
  </si>
  <si>
    <t>ОсОО "Топаз ТВ"</t>
  </si>
  <si>
    <t>ОсОО "Транс авто интернешнл"</t>
  </si>
  <si>
    <t>ОсОО "Трейд Альянс"</t>
  </si>
  <si>
    <t>ОсОО "ТТТ Эмерек"</t>
  </si>
  <si>
    <t>ОсОО "ТЭМА ТРЕЙД"</t>
  </si>
  <si>
    <t>ОсОО "Фортэкс Групп"</t>
  </si>
  <si>
    <t>ОсОО "Хард Лэнд"</t>
  </si>
  <si>
    <t>ОсОО "Централ Азия Метал"</t>
  </si>
  <si>
    <t>ОсОО "Чебер-Сервис"</t>
  </si>
  <si>
    <t>ОсОО "Чопа и К"</t>
  </si>
  <si>
    <t>ОсОО "Эверест Транс компани"</t>
  </si>
  <si>
    <t>ОсОО "Экво Групп"</t>
  </si>
  <si>
    <t>ОсОО "ЭКО КГ"</t>
  </si>
  <si>
    <t>ОсОО "ЭпКрафт"</t>
  </si>
  <si>
    <t>Пономарев Виталий Александрович</t>
  </si>
  <si>
    <t>Сейитмуратов Нуркамал Довранбекович</t>
  </si>
  <si>
    <t>Солтонов Алмаз Сартбекович</t>
  </si>
  <si>
    <t>Султаналиев Мырзатай Сагынбекович</t>
  </si>
  <si>
    <t>Сыдыгалиева Махабат Капаровна</t>
  </si>
  <si>
    <t>Терентьева Анастасия Евгеньевна</t>
  </si>
  <si>
    <t>Токтоболотов Алмазбек Сатарович</t>
  </si>
  <si>
    <t>Тыныбекова Асель Жолдошевна</t>
  </si>
  <si>
    <t>Фельк Сергей Викторович</t>
  </si>
  <si>
    <t>Чаримов Мурад Тулегенович</t>
  </si>
  <si>
    <t>Шадыбекова Нурзада Кубатовна</t>
  </si>
  <si>
    <t>Шиваза Якуб Джуманович</t>
  </si>
  <si>
    <t xml:space="preserve">Юлдашев Хуршидбек </t>
  </si>
  <si>
    <t>Курбанов Халилило Исожонович</t>
  </si>
  <si>
    <t>ОсОО "Азия Гранд Капитал"</t>
  </si>
  <si>
    <t>ОсОО "Реал Брик"</t>
  </si>
  <si>
    <t>ОсОО "Береке Дан"</t>
  </si>
  <si>
    <t>ОсОО "Пандж-Шер"</t>
  </si>
  <si>
    <t>Асанбек уулу Нурсултан</t>
  </si>
  <si>
    <t>ОсОО "КРОНОС"</t>
  </si>
  <si>
    <t>ОАО "Курментыцемент"</t>
  </si>
  <si>
    <t>Намазбаев Асет Жыргалбекович</t>
  </si>
  <si>
    <t>ОсОО "АГРОМОЛПРОМ"</t>
  </si>
  <si>
    <t>Бурова Светлана Викторовна</t>
  </si>
  <si>
    <t>Бурова Инна Геннадьевна</t>
  </si>
  <si>
    <t>Инамбаева Шамсихан Камалдиновна</t>
  </si>
  <si>
    <t>Алек уулу Эламан</t>
  </si>
  <si>
    <t>Жеенбеков Мирлан Жеенбекович</t>
  </si>
  <si>
    <t>ОсОО "БАГЫШ-НУР"</t>
  </si>
  <si>
    <t xml:space="preserve">Коргошун уулу Зулкайнар </t>
  </si>
  <si>
    <t>Аманов Мирбек Советбекович</t>
  </si>
  <si>
    <t>ОсОО "МЕАДИ"</t>
  </si>
  <si>
    <t>Сулейманов Мугруш Аладинович</t>
  </si>
  <si>
    <t>ОАО "Жумгалсуукурулуш"</t>
  </si>
  <si>
    <t>Рахманов Улугбек Исманович</t>
  </si>
  <si>
    <t>Кучкаров Илхомжан Абдумуталибович</t>
  </si>
  <si>
    <t>Кадырова Гулдойкан Жанибековна</t>
  </si>
  <si>
    <t>Анаркулов Мураталы Медетович</t>
  </si>
  <si>
    <t>ОсОО "КИРО ПЛЮС"</t>
  </si>
  <si>
    <t>ОсОО "Hive Soft"</t>
  </si>
  <si>
    <t>ОсОО "ГеоКомпани"</t>
  </si>
  <si>
    <t>ОсОО "P&amp;L m. Co., Ltd"</t>
  </si>
  <si>
    <t>ОсОО "Агынай"</t>
  </si>
  <si>
    <t>ОсОО "КыргызСтройМонтаж"</t>
  </si>
  <si>
    <t>ОсОО "Энеркомп"</t>
  </si>
  <si>
    <t>ОсОО "Сев.нефт.ком."</t>
  </si>
  <si>
    <t>ОсОО "Алекс и партнеры"</t>
  </si>
  <si>
    <t>ОсОО "Trena Com Limited"</t>
  </si>
  <si>
    <t xml:space="preserve">Абдывалиева Кадырбубу </t>
  </si>
  <si>
    <t>ОсОО "Стройбат"</t>
  </si>
  <si>
    <t>ОсОО "Йа-Син"</t>
  </si>
  <si>
    <t xml:space="preserve">Бакытбек кызы Бактыгул </t>
  </si>
  <si>
    <t>ОсОО "GRAND Line"</t>
  </si>
  <si>
    <t xml:space="preserve">Асанкожоев Сырымбет </t>
  </si>
  <si>
    <t>ОсОО "Асман Глобал Транс"</t>
  </si>
  <si>
    <t>ОсОО "DDD PRomotion"</t>
  </si>
  <si>
    <t>ОсОО "АДАМ-Булак"</t>
  </si>
  <si>
    <t xml:space="preserve">Асанбай уулу Рахатбек </t>
  </si>
  <si>
    <t>ОсОО "Нарт"</t>
  </si>
  <si>
    <t>ОсОО "Эко Сервис"</t>
  </si>
  <si>
    <t>ОсОО "Ингениум"</t>
  </si>
  <si>
    <t>Мамытбеков Азат Камчыбекович</t>
  </si>
  <si>
    <t>ОсОО "БЕКУ-Компани"</t>
  </si>
  <si>
    <t>ОсОО "Тоокен Булак"</t>
  </si>
  <si>
    <t>ОсОО "МиксСтоун"</t>
  </si>
  <si>
    <t>ОсОО "АРЕНА ПЛЮС"</t>
  </si>
  <si>
    <t>ОАО "OREMI"</t>
  </si>
  <si>
    <t>Фаизов Муслим Бекзадаевич</t>
  </si>
  <si>
    <t>ОсОО "ЭРЭФ Констракшн"</t>
  </si>
  <si>
    <t>ОсОО "Транзит Жол"</t>
  </si>
  <si>
    <t>Сагынбаев Калинур Толкунбекович</t>
  </si>
  <si>
    <t>ЗАО "Интернэшнл Молибденум энд Тангстен Энтерпрайз"</t>
  </si>
  <si>
    <t>Ак-Талинский район</t>
  </si>
  <si>
    <t>ОсОО "Зарна-Сервис"</t>
  </si>
  <si>
    <t>ОсОО "Рапсодия плюс"</t>
  </si>
  <si>
    <t>Жапыралиев Келдибек Даутович</t>
  </si>
  <si>
    <t>ОсОО "ИМПЭКА"</t>
  </si>
  <si>
    <t>Абдуллаев Музаффаржон Шавкатбекович</t>
  </si>
  <si>
    <t>Хамраев Шухратжон Азаматович</t>
  </si>
  <si>
    <t>ОсОО "Азия и Ко ЛТД"</t>
  </si>
  <si>
    <t>ОсОО "Гранд Карпет"</t>
  </si>
  <si>
    <t>ОсОО "Абсолют профи"</t>
  </si>
  <si>
    <t>ОсОО "Энергаз"</t>
  </si>
  <si>
    <t>ОсОО "Логистик КЖ ЛТД"</t>
  </si>
  <si>
    <t>ОсОО "Жасур"</t>
  </si>
  <si>
    <t>ОсОО "Аполлон Карго"</t>
  </si>
  <si>
    <t>Акбаров Азиз Акбарович</t>
  </si>
  <si>
    <t>Хамданов Нурмахамад Хатамжанович</t>
  </si>
  <si>
    <t>Мирзакаримов Адилжан Тешабаевич</t>
  </si>
  <si>
    <t>Исманов Канатбек Акбарович</t>
  </si>
  <si>
    <t>ОсОО "Эльвира ЛТД"</t>
  </si>
  <si>
    <t>Нурдинов Умар Рахматиллаевич</t>
  </si>
  <si>
    <t>Анаркулов Тамга Букарбекович</t>
  </si>
  <si>
    <t>Ассоциация водопользователей "Жорго"</t>
  </si>
  <si>
    <t>Мурзалиев Замирбек Орозбекович</t>
  </si>
  <si>
    <t>Алиев Раимбек Алымбекович</t>
  </si>
  <si>
    <t>ОсОО "ВОК КАРГО"</t>
  </si>
  <si>
    <t>ОсОО "Секвойя групп"</t>
  </si>
  <si>
    <t>ОсОО "АНСК"</t>
  </si>
  <si>
    <t>ОсОО "Элантра Трейд Компани"</t>
  </si>
  <si>
    <t>Абжапаров Нургазы Эсенгелдиевич</t>
  </si>
  <si>
    <t>Жапаров Улукбек Тынайбекович</t>
  </si>
  <si>
    <t>ОсОО "Централ Азия Мондриллинг"</t>
  </si>
  <si>
    <t>ОсОО "Мубаарак"</t>
  </si>
  <si>
    <t>ОсОО "ЭлтрансПро"</t>
  </si>
  <si>
    <t>ОсОО "Авица Групп"</t>
  </si>
  <si>
    <t>ОсОО "Семь Мега Групп"</t>
  </si>
  <si>
    <t>ОсОО "Туран-Пласт"</t>
  </si>
  <si>
    <t>ОсОО "Золотой Караван"</t>
  </si>
  <si>
    <t>ОсОО "Оптима девеломент"</t>
  </si>
  <si>
    <t xml:space="preserve">ОсОО "МКБ-Экспресс" </t>
  </si>
  <si>
    <t>ОсОО "Беш-Терек профи"</t>
  </si>
  <si>
    <t>ОсОО "Гелиос"</t>
  </si>
  <si>
    <t>ОсОО "Нур Компани ЛТД"</t>
  </si>
  <si>
    <t>ОсОО "Аванта Экспорт"</t>
  </si>
  <si>
    <t>Тудеева Аделя Токтасыновна</t>
  </si>
  <si>
    <t>Бакаев Рахатбек Тологонович</t>
  </si>
  <si>
    <t xml:space="preserve">Делимулати Аили </t>
  </si>
  <si>
    <t xml:space="preserve">Маматумар Вублукасыму </t>
  </si>
  <si>
    <t xml:space="preserve">Канжиахонг Маимаитииминг </t>
  </si>
  <si>
    <t>Аданбаев Куштарбек Батырбекович</t>
  </si>
  <si>
    <t>Осмонов Равшан Тургунбаевич</t>
  </si>
  <si>
    <t>Наншанло Алишер Анварович</t>
  </si>
  <si>
    <t>Акылбеков Майрамбек Акылбекович</t>
  </si>
  <si>
    <t>Акылбек кызы Курбанай</t>
  </si>
  <si>
    <t>ОсОО "Н.Жибек"</t>
  </si>
  <si>
    <t>ОАО "Майлуу-Сууйский ламповый завод"</t>
  </si>
  <si>
    <t>Бакачыев Нурхат Бакачыевич</t>
  </si>
  <si>
    <t>Жапаров Уланбек Акылбекович</t>
  </si>
  <si>
    <t>Рахимов Махамат Турсунович</t>
  </si>
  <si>
    <t>Кудайбердиев Айкол Бурканбекович</t>
  </si>
  <si>
    <t>ОсОО "Ясин Логистик"</t>
  </si>
  <si>
    <t>Дубанаев Замирбек Асанбаевич</t>
  </si>
  <si>
    <t>Калматова Гулдаста Саматбаевна</t>
  </si>
  <si>
    <t>ОсОО "Олимп-Гранд"</t>
  </si>
  <si>
    <t>ОсОО "Ак-Тилек М"</t>
  </si>
  <si>
    <t>ОсОО “Ойл-Тех Микс”</t>
  </si>
  <si>
    <t>ОсОО "Бостон-Алга"</t>
  </si>
  <si>
    <t>Хожобеков Дастан Абдулатипович</t>
  </si>
  <si>
    <t>ОсОО "Азия Карго Компании"</t>
  </si>
  <si>
    <t>Дадаханов Лочинбек Аманович</t>
  </si>
  <si>
    <t>Ассоциация водопользователей "Султан-Наз"</t>
  </si>
  <si>
    <t>Ыдырысов Манасбек Орозбаевич</t>
  </si>
  <si>
    <t>Абдуллаев Саидхожа Рахманалиевич</t>
  </si>
  <si>
    <t>Таласский район</t>
  </si>
  <si>
    <t>Базарчиев Нурлан Белекович</t>
  </si>
  <si>
    <t>Тыналиев Данияр Бейшенбекович</t>
  </si>
  <si>
    <t>Балбаков Урусланбек Курманкулович</t>
  </si>
  <si>
    <t>Акимов Адилет Абдулаевич</t>
  </si>
  <si>
    <t>Эшеналиева Нурзат Торогазиевна</t>
  </si>
  <si>
    <t>Базарбаев Акылбек Атаевич</t>
  </si>
  <si>
    <t>Рысбеков Бексултан Нурланович</t>
  </si>
  <si>
    <t>ОсОО "Кыргыз Транс групп"</t>
  </si>
  <si>
    <t>ОсОО "Береке таш"</t>
  </si>
  <si>
    <t>ОсОО "Автошкола Алинур Проф"</t>
  </si>
  <si>
    <t>ОсОО "Озгон базары"</t>
  </si>
  <si>
    <t>Каримова Мумина Дустбековна</t>
  </si>
  <si>
    <t xml:space="preserve">Маматюнусова Иноятхан </t>
  </si>
  <si>
    <t>Худайбердиев Абдуллох Мухтаржанович</t>
  </si>
  <si>
    <t>Исмаилов Хайдарали Хамитжанович</t>
  </si>
  <si>
    <t>Макаев Мухаммад Ибрахимжанович</t>
  </si>
  <si>
    <t>Якубов Шерзод Парпиевич</t>
  </si>
  <si>
    <t xml:space="preserve">Хабибулла угли Иноятулло </t>
  </si>
  <si>
    <t>Мирзарахимов Абдурахман Пазилжанович</t>
  </si>
  <si>
    <t>Атажанов Гуламжан Ганибаевич</t>
  </si>
  <si>
    <t>Кошбай уулу Жылдызбек</t>
  </si>
  <si>
    <t>Хурматов Дилшадбек Исраилжанович</t>
  </si>
  <si>
    <t>Якубов Бегзодбек Парпиевич</t>
  </si>
  <si>
    <t>Усманов Юсуфжан Мойдинович</t>
  </si>
  <si>
    <t xml:space="preserve">Маруков Усен </t>
  </si>
  <si>
    <t>ОсОО "Туура Булак"</t>
  </si>
  <si>
    <t>ОсОО "Эл-Бай"</t>
  </si>
  <si>
    <t>ОсОО "Жибек-Жолу базары"</t>
  </si>
  <si>
    <t>Таалайбеков Эламан Таалайбекович</t>
  </si>
  <si>
    <t>Эшалиев Муратбек Анарбекович</t>
  </si>
  <si>
    <t>Айтматовский район</t>
  </si>
  <si>
    <t>Жапаров Рыскулбек Токтобекович</t>
  </si>
  <si>
    <t>ОсОО "Бир Жол"</t>
  </si>
  <si>
    <t>ОсОО "Балыкчы Алко Трейд"</t>
  </si>
  <si>
    <t>ОсОО "Серен-Транс"</t>
  </si>
  <si>
    <t>ОсОО "Чу Прокси"</t>
  </si>
  <si>
    <t xml:space="preserve">Тургунбек уулу Денизбек </t>
  </si>
  <si>
    <t>ОАО "Карабалтинский горнорудный комбинат"</t>
  </si>
  <si>
    <t>ОсОО "Кыргыз Жол Курулуш"</t>
  </si>
  <si>
    <t>ОсОО "Адал"</t>
  </si>
  <si>
    <t>Мусаева Жамыйла Бектурсуновна</t>
  </si>
  <si>
    <t>Исаев Калмурат Джапарович</t>
  </si>
  <si>
    <t>Жапаров Элдияр Жаныбекович</t>
  </si>
  <si>
    <t>Жапаров Таалайбек Арашанбекович</t>
  </si>
  <si>
    <t>Турусов Акылбек Джумабаевич</t>
  </si>
  <si>
    <t>Мурзакулов Аббасжон Шухратович</t>
  </si>
  <si>
    <t>ОсОО "Жылуулук Кей Джи"</t>
  </si>
  <si>
    <t>Мавлянова Дильфуза Абдурахмановна</t>
  </si>
  <si>
    <t>ОсОО "ОЛАН Компани"</t>
  </si>
  <si>
    <t>ОсОО "Бай элим"</t>
  </si>
  <si>
    <t>Касымов Марлен Барыктабасович</t>
  </si>
  <si>
    <t>Султанбек уулу Кумарбек</t>
  </si>
  <si>
    <t>ОсОО "Антаго Трейд"</t>
  </si>
  <si>
    <t>ОсОО "НПЗ Сафар МКЗ"</t>
  </si>
  <si>
    <t>ОсОО "Бек-Ойл"</t>
  </si>
  <si>
    <t>Намашамов Тендик Жуманазарович</t>
  </si>
  <si>
    <t>ОсОО “Малибу Групп”</t>
  </si>
  <si>
    <t>ОсОО "Сапан"</t>
  </si>
  <si>
    <t>ОсОО "Усман строй"</t>
  </si>
  <si>
    <t>Мусанов Улан Тагаевич</t>
  </si>
  <si>
    <t>ОсОО "Нурэл ЛТД"</t>
  </si>
  <si>
    <t>Ысаков Исматилла Эркебаевич</t>
  </si>
  <si>
    <t>Калилов Жумабек Исламбекович</t>
  </si>
  <si>
    <t>ОсОО "Бай Тумар"</t>
  </si>
  <si>
    <t>ОсОО "КТЖ-Трейд"</t>
  </si>
  <si>
    <t>Ноокатский район</t>
  </si>
  <si>
    <t>ОсОО "Евро-Текст"</t>
  </si>
  <si>
    <t>ОсОО "Антего Трейд"</t>
  </si>
  <si>
    <t>ОсОО "Алтын-Асыл"</t>
  </si>
  <si>
    <t>ОсОО "ЭлТрансГаз"</t>
  </si>
  <si>
    <t>ОсОО "Жолчырак"</t>
  </si>
  <si>
    <t>Кадыров Хамдамжон Хатамжонович</t>
  </si>
  <si>
    <t>Айтбаев Медербек Эшполотович</t>
  </si>
  <si>
    <t>Исмоилов Хасанбой Каюмович</t>
  </si>
  <si>
    <t>Коконов Алтынбек Калыевич</t>
  </si>
  <si>
    <t>ОсОО "Мега Транс Гарант"</t>
  </si>
  <si>
    <t>ОсОО "Фосфат"</t>
  </si>
  <si>
    <t>Усенов Азим Бактыбекович</t>
  </si>
  <si>
    <t>Финансовый кооператив "Кредитный союз "Арийне-Кенч"</t>
  </si>
  <si>
    <t>ОсОО "Фрезия"</t>
  </si>
  <si>
    <t>Жакыпова Каныкей Абдисамиевна</t>
  </si>
  <si>
    <t>Ногойбаев Адилет Куралбекович</t>
  </si>
  <si>
    <t>Исмаилов Абдляжан Алижанович</t>
  </si>
  <si>
    <t>Лапикин Александр Геннадьевич</t>
  </si>
  <si>
    <t>Маткулов Майрамбек Аязбекович</t>
  </si>
  <si>
    <t>Абасбек уулу Датка</t>
  </si>
  <si>
    <t>Ашыралиев Ислан Молдобекович</t>
  </si>
  <si>
    <t>Раманова Замира Доолоталиевна</t>
  </si>
  <si>
    <t>Жусупов Акылбек Сыргабекович</t>
  </si>
  <si>
    <t>Аскарова Вера Николаевна</t>
  </si>
  <si>
    <t>Кулукбаев Нурзат Турдубекович</t>
  </si>
  <si>
    <t>Байзаков Ансар Эмилбекович</t>
  </si>
  <si>
    <t>Старченко Анатолий Михайлович</t>
  </si>
  <si>
    <t>Суюмбаева Эльвира Касымбековна</t>
  </si>
  <si>
    <t>Бондаренко Владимир Юрьевич</t>
  </si>
  <si>
    <t>Мирзаев Шамурт Ибрагимович</t>
  </si>
  <si>
    <t>Кайкиева Жыпаркул Торгоевна</t>
  </si>
  <si>
    <t>Дуйшембиев Женишбек Конокбаевич</t>
  </si>
  <si>
    <t>Гаджирамазанов Рустам Зайнудинович</t>
  </si>
  <si>
    <t>Маматкулов Акбар Акрамович</t>
  </si>
  <si>
    <t>ОсОО "Транс Логистик Коал"</t>
  </si>
  <si>
    <t>ОсОО "МТР"</t>
  </si>
  <si>
    <t>ОсОО "Заман Групп ЛТД"</t>
  </si>
  <si>
    <t>ОсОО "Альма групп ЛТД"</t>
  </si>
  <si>
    <t>ОсОО "Бенрол"</t>
  </si>
  <si>
    <t>ОсОО "Экспресс Трейд Групп"</t>
  </si>
  <si>
    <t>ОсОО "Принэксис"</t>
  </si>
  <si>
    <t>ОсОО "Текес"</t>
  </si>
  <si>
    <t>ОсОО "Беш-Алтын"</t>
  </si>
  <si>
    <t>ОсОО "Альфа-сити"</t>
  </si>
  <si>
    <t>ОсОО "Роял Платинум"</t>
  </si>
  <si>
    <t>ОсОО "СурКо Лтд"</t>
  </si>
  <si>
    <t>ОсОО "Техсервис Групп"</t>
  </si>
  <si>
    <t>ОсОО "Даббл Групп"</t>
  </si>
  <si>
    <t>Дюшекеев Адилет Кенешбекович</t>
  </si>
  <si>
    <t>Аруунов Бекзат Аруунович</t>
  </si>
  <si>
    <t>Логвиненко Илья Анатольевич</t>
  </si>
  <si>
    <t>ОсОО "МАК КАРГО"</t>
  </si>
  <si>
    <t>ОсОО "АКУ ЛОГИСТИК"</t>
  </si>
  <si>
    <t>ОсОО "INTER ALLIANCE"</t>
  </si>
  <si>
    <t>ОсОО "Экс Микс"</t>
  </si>
  <si>
    <t>ОсОО "Декидес"</t>
  </si>
  <si>
    <t>ОсОО "АКА Продукт"</t>
  </si>
  <si>
    <t>ОсОО "Центр КЕЛИШИМ"</t>
  </si>
  <si>
    <t>ОсОО "Кайман Компани"</t>
  </si>
  <si>
    <t>ОсОО "ЕМААР"</t>
  </si>
  <si>
    <t>ОсОО "АВИ ЛОГИСТИК"</t>
  </si>
  <si>
    <t>ОсОО "Глобал Пет"</t>
  </si>
  <si>
    <t>ОсОО "Скит трейд"</t>
  </si>
  <si>
    <t>ОсОО "Автотрейдинг КЖ"</t>
  </si>
  <si>
    <t>Атаханова Айгул Джаркуловна</t>
  </si>
  <si>
    <t>ОсОО "МАЙ БАХ"</t>
  </si>
  <si>
    <t>ОсОО "ТрансПетроГруз"</t>
  </si>
  <si>
    <t>ОсОО "ГенСтрой Компани"</t>
  </si>
  <si>
    <t>ОсОО "Нэйс Групп"</t>
  </si>
  <si>
    <t>ОсОО "Байаман"</t>
  </si>
  <si>
    <t>Таштанов Бакытбек Полотович</t>
  </si>
  <si>
    <t>ОсОО "АСК ТРЕЙД"</t>
  </si>
  <si>
    <t>Акперди уулу Бекмамат</t>
  </si>
  <si>
    <t>ОсОО "ПроКлининг"</t>
  </si>
  <si>
    <t>ОсОО "КОЧМОН"</t>
  </si>
  <si>
    <t>Бахтибаев Арген Имамидинович</t>
  </si>
  <si>
    <t>ОсОО "Трувер"</t>
  </si>
  <si>
    <t>ОсОО "ККН"</t>
  </si>
  <si>
    <t>ОсОО "Персей групп"</t>
  </si>
  <si>
    <t>ОсОО "Интернал"</t>
  </si>
  <si>
    <t>ОсОО "АКА ГРУПП"</t>
  </si>
  <si>
    <t>ОсОО "Кеменгер Строй"</t>
  </si>
  <si>
    <t>ОсОО "Азия-Экс Сервис"</t>
  </si>
  <si>
    <t>ОсОО "Жаш кыймыл"</t>
  </si>
  <si>
    <t>ОсОО "ЛТД Логистик Плюс"</t>
  </si>
  <si>
    <t>Рысмамат кызы Айсулуу</t>
  </si>
  <si>
    <t>Турдубекова Эльмира Тургуналиевна</t>
  </si>
  <si>
    <t>ОсОО "Тулпар Гранд"</t>
  </si>
  <si>
    <t>ОсОО "Би Кей Медикеар"</t>
  </si>
  <si>
    <t>ОсОО "СОЮЗ Трэйд КейДжи"</t>
  </si>
  <si>
    <t>ОсОО "Алин ЛТД"</t>
  </si>
  <si>
    <t>ОсОО "Новус Экспорт Групп"</t>
  </si>
  <si>
    <t>ОсОО "Юг-Север Экспорт"</t>
  </si>
  <si>
    <t>ОсОО "Экспорт Фортуна"</t>
  </si>
  <si>
    <t xml:space="preserve">Абулибизи Абудурахман </t>
  </si>
  <si>
    <t>Маматцаев Замирбек Абдулазизович</t>
  </si>
  <si>
    <t>ОсОО "БАИР и Ко"</t>
  </si>
  <si>
    <t>ОсОО "Хоуп Медикал"</t>
  </si>
  <si>
    <t>ОсОО "ГАЗТОРГ Сервис"</t>
  </si>
  <si>
    <t>Ибрагимов Давран Нарматжанович</t>
  </si>
  <si>
    <t>Эшентаев Дастан Аширбаевич</t>
  </si>
  <si>
    <t>Джалалов Нурзат Камалидинович</t>
  </si>
  <si>
    <t>Хуанг Ронг Хинг</t>
  </si>
  <si>
    <t>Мамытов Анвар Алмазович</t>
  </si>
  <si>
    <t>Жакшыбаев Искандер Жумабекович</t>
  </si>
  <si>
    <t>Абдуллин Юсуп Абдулкавыевич</t>
  </si>
  <si>
    <t xml:space="preserve">Каисаиер Тудахонг </t>
  </si>
  <si>
    <t>Абдыкаримов Канимет Абдыразакович</t>
  </si>
  <si>
    <t>Розенберг Сергей Григорьевич</t>
  </si>
  <si>
    <t>Плехан Алексей Валерьевич</t>
  </si>
  <si>
    <t>Юсупов Курбанжан Фархатович</t>
  </si>
  <si>
    <t>Валь Иван Андреевич</t>
  </si>
  <si>
    <t xml:space="preserve">Мухаммад Али Халид </t>
  </si>
  <si>
    <t>Ошоев Кубанычбек Сыртбаевич</t>
  </si>
  <si>
    <t>Шамурзаев Кутманбек Адылбекович</t>
  </si>
  <si>
    <t>Ибраев Жаныбек Эмилжанович</t>
  </si>
  <si>
    <t>Шаршеналиева Чолпон Шейшенбековна</t>
  </si>
  <si>
    <t>Бакасова Гульзат Алтынбековна</t>
  </si>
  <si>
    <t>Туратбекова Айнура Казыбаевна</t>
  </si>
  <si>
    <t>ОсОО "Айвен Групп"</t>
  </si>
  <si>
    <t>ОсОО "Эвиан"</t>
  </si>
  <si>
    <t>ОсОО "РиГруп"</t>
  </si>
  <si>
    <t>ОсОО "Миндас"</t>
  </si>
  <si>
    <t>ОсОО "БиБлэк Компани"</t>
  </si>
  <si>
    <t>ОсОО "Дэн Фас"</t>
  </si>
  <si>
    <t>ОсОО "010 Карго"</t>
  </si>
  <si>
    <t>ОсОО "Текстиль Пром"</t>
  </si>
  <si>
    <t>ОсОО "Аалы"</t>
  </si>
  <si>
    <t>ОсОО "Стимул Трейд КЖ"</t>
  </si>
  <si>
    <t>ОсОО "Норд Тор Сервис"</t>
  </si>
  <si>
    <t>ОсОО "ДАЕР Тандем Компани"</t>
  </si>
  <si>
    <t>ОсОО "Айлэнд Групп"</t>
  </si>
  <si>
    <t>ОсОО "ДиДи ГРУПП КейДжи"</t>
  </si>
  <si>
    <t>ОсОО "К-Профит Групп"</t>
  </si>
  <si>
    <t>ОсОО "Селлинг Гранд"</t>
  </si>
  <si>
    <t>ОсОО "Гвардиан"</t>
  </si>
  <si>
    <t>ОсОО "Аль Харам корпорэйшн"</t>
  </si>
  <si>
    <t>ОсОО "Груз Транс"</t>
  </si>
  <si>
    <t>ОсОО "Барака Файз"</t>
  </si>
  <si>
    <t>ОсОО "Эвелита"</t>
  </si>
  <si>
    <t>ОсОО "Кыргыз Жыгач профи"</t>
  </si>
  <si>
    <t>ОсОО "Nur Cleaning Service"</t>
  </si>
  <si>
    <t>ОсОО "ReGom" (РеГоМ)</t>
  </si>
  <si>
    <t>ОсОО "Алишер Трейд"</t>
  </si>
  <si>
    <t>ОсОО "Феникс Карго"</t>
  </si>
  <si>
    <t>ОсОО "PR.estige" (ПиаР.естиж)</t>
  </si>
  <si>
    <t>ОсОО "ЭМГУ"</t>
  </si>
  <si>
    <t>ОсОО "Эскель"</t>
  </si>
  <si>
    <t>ОсОО "Евро Гарант"</t>
  </si>
  <si>
    <t>ОсОО "Кемет Трейд"</t>
  </si>
  <si>
    <t>ОсОО "Гранд Экспресс"</t>
  </si>
  <si>
    <t>ОсОО "Акжол Майнинг"</t>
  </si>
  <si>
    <t>ОсОО "Сатанг"</t>
  </si>
  <si>
    <t>ОсОО "Амазон плюс"</t>
  </si>
  <si>
    <t>ОсОО "Голд Ойл"</t>
  </si>
  <si>
    <t>ОсОО "Амина Карго"</t>
  </si>
  <si>
    <t>ОсОО "БиПлюс Компани Кар"</t>
  </si>
  <si>
    <t>ОсОО "Леголас"</t>
  </si>
  <si>
    <t>ОсОО "Нур Ойл Компани"</t>
  </si>
  <si>
    <t>ОсОО "Belanta KG" (Беланта Кей Джи)</t>
  </si>
  <si>
    <t>ОсОО "Опторг Сервис"</t>
  </si>
  <si>
    <t>ОсОО "ХАРДЛАЙН СОЛУШЕН"</t>
  </si>
  <si>
    <t>ОсОО "MON ROI"</t>
  </si>
  <si>
    <t>ОсОО "Биш Трейдерс"</t>
  </si>
  <si>
    <t>ОсОО "Ассет плюс"</t>
  </si>
  <si>
    <t>ОсОО "Файф Плюс"</t>
  </si>
  <si>
    <t>ОсОО "Экспрес Лайт"</t>
  </si>
  <si>
    <t>ОсОО "Алга"</t>
  </si>
  <si>
    <t>ОсОО "Лидер Мэн Трейд"</t>
  </si>
  <si>
    <t>ОсОО "Аква Де Люкс"</t>
  </si>
  <si>
    <t>ОсОО "Бизнес Ком"</t>
  </si>
  <si>
    <t>ОсОО "КБ-Евро Трейд"</t>
  </si>
  <si>
    <t>ОсОО "РосСоюзКейджи"</t>
  </si>
  <si>
    <t>ОсОО "ЛЕКУ-ТРЕЙД"</t>
  </si>
  <si>
    <t>ОсОО "Компания БШК"</t>
  </si>
  <si>
    <t>ОсОО "БАГДА"</t>
  </si>
  <si>
    <t>ОсОО "Олимп Трейд"</t>
  </si>
  <si>
    <t>ОсОО "Реал Баттл Граунд"</t>
  </si>
  <si>
    <t>ОсОО "Song Di" (Сонг Ди)</t>
  </si>
  <si>
    <t>ОсОО "Стэлс Карго"</t>
  </si>
  <si>
    <t>ОсОО "Айткул-Ата"</t>
  </si>
  <si>
    <t>ОсОО "Алабай Карго"</t>
  </si>
  <si>
    <t>ОсОО "Торг-Строй"</t>
  </si>
  <si>
    <t>ОсОО "КЭТТА"</t>
  </si>
  <si>
    <t>ОсОО "Кожогелди Плюс"</t>
  </si>
  <si>
    <t>ОсОО "БИШКЕК ИМПОРТ ТРЕЙД"</t>
  </si>
  <si>
    <t>ОсОО "Logicon"</t>
  </si>
  <si>
    <t>ОсОО "Элит-Тур"</t>
  </si>
  <si>
    <t>ОсОО "Buena Limited" (Буэна Лимитед)</t>
  </si>
  <si>
    <t>ОсОО "ТД Амир"</t>
  </si>
  <si>
    <t>ОсОО "КСК"</t>
  </si>
  <si>
    <t>Нуржанова Бактыгуль Суюндуковна</t>
  </si>
  <si>
    <t>Земскова Ольга Юрьевна</t>
  </si>
  <si>
    <t>Иманкулов Акылбек Шаршенкулович</t>
  </si>
  <si>
    <t>ОсОО "Ак-Тал плюс"</t>
  </si>
  <si>
    <t>Дадаев Мухамед Биналиевич</t>
  </si>
  <si>
    <t>Жуманаев Бактыбнк Бекмурзаевич</t>
  </si>
  <si>
    <t>ОсОО "Мухаметов"</t>
  </si>
  <si>
    <t>ОсОО "ТриСаид"</t>
  </si>
  <si>
    <t>Байматов Уланбек Ишенкадырович</t>
  </si>
  <si>
    <t>Муратов Курманбек Абдикаримович</t>
  </si>
  <si>
    <t>Токтосунова Назира Жолдошбековна</t>
  </si>
  <si>
    <t>Хихиза Фатима Шабазовна</t>
  </si>
  <si>
    <t>Коликова Виктория Михайловна</t>
  </si>
  <si>
    <t>ОсОО "Токмокская бумажная фабрика"</t>
  </si>
  <si>
    <t>ОсОО "Нур Жол Эксклюзив"</t>
  </si>
  <si>
    <t>Базарбаев Тунгучбек Жумакович</t>
  </si>
  <si>
    <t>ОсОО "Гранд ЛесоСклад"</t>
  </si>
  <si>
    <t>Токтосунова Уулжан Соорбековна</t>
  </si>
  <si>
    <t>Аралбаева Гульнара Чалаказаковна</t>
  </si>
  <si>
    <t>ОсОО "Темир Тулпар Трейд"</t>
  </si>
  <si>
    <t>ОсОО "Кыргызшампаны"</t>
  </si>
  <si>
    <t>Борбиева Кундуз Уларбековна</t>
  </si>
  <si>
    <t>Алиев Джалиль Кибарович</t>
  </si>
  <si>
    <t xml:space="preserve">Джалали кызы Хошназ </t>
  </si>
  <si>
    <t>ОсОО "Сельхоз Трейд"</t>
  </si>
  <si>
    <t>Кулакеев Элнур Максатович</t>
  </si>
  <si>
    <t>Аксакалов Асылбек Майрамбекович</t>
  </si>
  <si>
    <t>ОсОО "Троя Импорт"</t>
  </si>
  <si>
    <t>ОсОО "Алтын-Жемиш"</t>
  </si>
  <si>
    <t>ОсОО "Амадэус Компани"</t>
  </si>
  <si>
    <t>ОсОО "Элитремстрой сервис"</t>
  </si>
  <si>
    <t>ОсОО "КейДжи Корм"</t>
  </si>
  <si>
    <t>Чахалов Олимжан Анварович</t>
  </si>
  <si>
    <t>Пушкарева Жанна Александровна</t>
  </si>
  <si>
    <t>ОсОО "Петровское ПМК"</t>
  </si>
  <si>
    <t>ОсОО "Рокс Импорт"</t>
  </si>
  <si>
    <t>Францев Александр Юрьевич</t>
  </si>
  <si>
    <t>ОсОО "Кыргыз Ак-Таш"</t>
  </si>
  <si>
    <t>Аралбаев Джумабек Какитаевич</t>
  </si>
  <si>
    <t>ОсОО "Марс Трейд Ко"</t>
  </si>
  <si>
    <t>Эрматов Алтынбек Ташиевич</t>
  </si>
  <si>
    <t>Ибрагимов Анваржан Иномович</t>
  </si>
  <si>
    <t>ОсОО "ЕвроТранс Плюс"</t>
  </si>
  <si>
    <t>ОсОО "Manas Handling Group"</t>
  </si>
  <si>
    <t>Арупов Магомеджан Юсупджанович</t>
  </si>
  <si>
    <t>ОсОО "Нурэл Груз"</t>
  </si>
  <si>
    <t>ОсОО "Экспресс текстиль плюс"</t>
  </si>
  <si>
    <t>Тоштук уулу Нурсултан</t>
  </si>
  <si>
    <t>ОсОО "Строй плюс сервис"</t>
  </si>
  <si>
    <t>Абдылдаев Тимур Тилекович</t>
  </si>
  <si>
    <t>Султанов Джанибек Суранович</t>
  </si>
  <si>
    <t>Мансуров Адильжан Ахметджанович</t>
  </si>
  <si>
    <t>Болотбеков Жусуп Болотбекович</t>
  </si>
  <si>
    <t>Токтосунов Эрнистбек Мурзабекович</t>
  </si>
  <si>
    <t>Чолпонкулов Эралы Керимович</t>
  </si>
  <si>
    <t>Дыканали уулу Бактыяр</t>
  </si>
  <si>
    <t>Дюшеев Мирбек Сардарбекович</t>
  </si>
  <si>
    <t>ОсОО "Мунай Групп"</t>
  </si>
  <si>
    <t>ОсОО "Триплекс"</t>
  </si>
  <si>
    <t>ОсОО "СААБ Строй"</t>
  </si>
  <si>
    <t>Тимошенко Елена Федоровна</t>
  </si>
  <si>
    <t>ОсОО "Назран"</t>
  </si>
  <si>
    <t>Калчекеева Рысгул Джолдошбаевна</t>
  </si>
  <si>
    <t>Урумканов Асейин Турдукеевич</t>
  </si>
  <si>
    <t>Иминова Захида Ажмуханбетовна</t>
  </si>
  <si>
    <t>ОсОО "ШОС ЛМТД"</t>
  </si>
  <si>
    <t>ОсОО "Ресурсные технологии "Лянь Цэ"</t>
  </si>
  <si>
    <t>ОсОО "Берен-Групп"</t>
  </si>
  <si>
    <t xml:space="preserve">Расулова Нургуль </t>
  </si>
  <si>
    <t>Давлеткулов Талайбек Иманбекович</t>
  </si>
  <si>
    <t>Ибрагимова Улара Турдукуловна</t>
  </si>
  <si>
    <t>Лованова Амина Якубовна</t>
  </si>
  <si>
    <t>ОсОО "Алп Куш"</t>
  </si>
  <si>
    <t>Попцова Раида-Раиса Тимофеевна</t>
  </si>
  <si>
    <t>Тынаева Айсулуу Раатбековна</t>
  </si>
  <si>
    <t>Аманкулов Абдимуталибжан Ботирович</t>
  </si>
  <si>
    <t>Болотбеков Элеман Рыскулович</t>
  </si>
  <si>
    <t>ОсОО "Гриф &amp; Д и В"</t>
  </si>
  <si>
    <t>Тукинов Максат Афтандилович</t>
  </si>
  <si>
    <t>Ибраимов Албек Сабирбекович</t>
  </si>
  <si>
    <t>ОсОО "Гранд Клининг"</t>
  </si>
  <si>
    <t>ОсОО "Нойон Групп"</t>
  </si>
  <si>
    <t>ОсОО "Гарант Лайф"</t>
  </si>
  <si>
    <t>Акжол уулу Орозмамбет</t>
  </si>
  <si>
    <t>Абдылдаева Анаркул Чопоновна</t>
  </si>
  <si>
    <t>Сулуев Сайдали Бадырович</t>
  </si>
  <si>
    <t>Жийдевай уулу Айтбек</t>
  </si>
  <si>
    <t>ОсОО "Жаст Карго"</t>
  </si>
  <si>
    <t>Юлдашева Клара Сайдбаевна</t>
  </si>
  <si>
    <t>ОсОО "Лумбер Кей Джи"</t>
  </si>
  <si>
    <t>Мягких Денис Сергеевич</t>
  </si>
  <si>
    <t>ОсОО "Экспо-СМ"</t>
  </si>
  <si>
    <t>ОсОО "ХАТУНА"</t>
  </si>
  <si>
    <t>Коваленко Михаил Иванович</t>
  </si>
  <si>
    <t>Саркуева Салтанат Таштанбековна</t>
  </si>
  <si>
    <t>Алыбаев Руслан Джумабекович</t>
  </si>
  <si>
    <t>Каныбек уулу Эр-Туран</t>
  </si>
  <si>
    <t>Ященко Игорь Владимирович</t>
  </si>
  <si>
    <t xml:space="preserve">Ногойбаева Бубужамал </t>
  </si>
  <si>
    <t>Кудабаев Улманбет Бусурманович</t>
  </si>
  <si>
    <t>ОсОО "Ньюс Групп"</t>
  </si>
  <si>
    <t>Азилова Аида Калыбековна</t>
  </si>
  <si>
    <t>Общественное объединение садоводов "Анар-Баг"</t>
  </si>
  <si>
    <t>ОсОО "Позитив Трейд"</t>
  </si>
  <si>
    <t xml:space="preserve">Сейитмырза уулу Алсейит </t>
  </si>
  <si>
    <t>Жээнбеков Абдурасул Муратович</t>
  </si>
  <si>
    <t>Ботокулов Талантбек Курбаналиевич</t>
  </si>
  <si>
    <t>ОсОО "АСЫЛ-ТАШ ПЛЮС"</t>
  </si>
  <si>
    <t xml:space="preserve">Исаков Анарбай </t>
  </si>
  <si>
    <t>Закиралиева Гульру Эргешовна</t>
  </si>
  <si>
    <t xml:space="preserve">Жумабаев Усон </t>
  </si>
  <si>
    <t>Ормонов Азизбек Сайдждинович</t>
  </si>
  <si>
    <t>Тагаев Майрамбек Абдисамитович</t>
  </si>
  <si>
    <t>Матиров Шайирбек Ташполотович</t>
  </si>
  <si>
    <t>ОсОО "Миртрейд"</t>
  </si>
  <si>
    <t>ОсОО "АНТИМОНИ"</t>
  </si>
  <si>
    <t>ОсОО "Талгат Профи"</t>
  </si>
  <si>
    <t>ОсОО "Азия Компании Трейд"</t>
  </si>
  <si>
    <t>Солтонов Акай Сартбекович</t>
  </si>
  <si>
    <t>ОсОО "Чаткал-Карьер"</t>
  </si>
  <si>
    <t>ОсОО "Дабл Трейд"</t>
  </si>
  <si>
    <t>Селеев Асадулла Абайдуллаевич</t>
  </si>
  <si>
    <t>Султанова Айпери Калыкбековна</t>
  </si>
  <si>
    <t>Байбосунов Табылды Белекович</t>
  </si>
  <si>
    <t>ОсОО "Бекзат Кей Джи"</t>
  </si>
  <si>
    <t>ОсОО "Прокастех"</t>
  </si>
  <si>
    <t>ОсОО "Строй ЛТД"</t>
  </si>
  <si>
    <t>ОсОО "Кыргыз Энерджи"</t>
  </si>
  <si>
    <t>ОсОО "Нурба"</t>
  </si>
  <si>
    <t xml:space="preserve">Мухатбек уулу Абдыхани </t>
  </si>
  <si>
    <t>ОсОО "Рилл Сервис"</t>
  </si>
  <si>
    <t>ОсОО "Арек строй"</t>
  </si>
  <si>
    <t>ОсОО "Вилсмен"</t>
  </si>
  <si>
    <t>ОсОО "ИЗИ ГОЛД ГРУПП"</t>
  </si>
  <si>
    <t>ОсОО "ИнклюзивСофт"</t>
  </si>
  <si>
    <t>ОсОО "Компания СМАРТ"</t>
  </si>
  <si>
    <t>ОсОО "Эл Экспресс"</t>
  </si>
  <si>
    <t>Кошалиев Сейдакматбек Ибраимбекович</t>
  </si>
  <si>
    <t>ОсОО "Бий Ордо"</t>
  </si>
  <si>
    <t>ОсОО "Инсайт Груп"</t>
  </si>
  <si>
    <t>ОсОО "Кора"</t>
  </si>
  <si>
    <t xml:space="preserve">Маматов Саид </t>
  </si>
  <si>
    <t>ОсОО "МАРТИ КЕЙДЖИ"</t>
  </si>
  <si>
    <t>ОАО "Аэродромдорстрой"</t>
  </si>
  <si>
    <t xml:space="preserve">Абдылас уулу Жумадил </t>
  </si>
  <si>
    <t>ОсОО "АДА ГРУПП"</t>
  </si>
  <si>
    <t xml:space="preserve">Мардонкулов Субхонкул </t>
  </si>
  <si>
    <t>ОсОО "ИМН-сервис"</t>
  </si>
  <si>
    <t>ОсОО "Ак жол Комур"</t>
  </si>
  <si>
    <t>Балкыяева Гульнара Омургазиевна</t>
  </si>
  <si>
    <t>ОсОО "РАЗРЕЗ МИН-КУШ"</t>
  </si>
  <si>
    <t>ОсОО "Предприятие Кыргыз Комур"</t>
  </si>
  <si>
    <t>ОсОО "АГК-Тоо Инвест"</t>
  </si>
  <si>
    <t>ОсОО "Акы-Куруш"</t>
  </si>
  <si>
    <t xml:space="preserve">Айсыкаэр Уфуэр </t>
  </si>
  <si>
    <t>Кульбаев Мирлан Курмангалиевич</t>
  </si>
  <si>
    <t>ОсОО "Фу-Нин"</t>
  </si>
  <si>
    <t>Таалайбек уулу Марлен</t>
  </si>
  <si>
    <t>Ниязов Эмилбек Абдунабиевич</t>
  </si>
  <si>
    <t>ОсОО "НурАзия"</t>
  </si>
  <si>
    <t>ОсОО "Олан Трейд"</t>
  </si>
  <si>
    <t>Акылбеков Уларбек Сталбекович</t>
  </si>
  <si>
    <t>Касымбаев Замирбек Калыбекович</t>
  </si>
  <si>
    <t>Бакиров Алик Нурланович</t>
  </si>
  <si>
    <t>Медетов Жигитбек Асеинович</t>
  </si>
  <si>
    <t>Токтоноев Тынарбек Медетбекович</t>
  </si>
  <si>
    <t>ОсОО "Элеганс Трейд Карг"</t>
  </si>
  <si>
    <t>ОсОО "Артимед"</t>
  </si>
  <si>
    <t>ОсОО "Трейд лоджик"</t>
  </si>
  <si>
    <t>Озубек уулу Серик</t>
  </si>
  <si>
    <t>Куликов Павел Николаевич</t>
  </si>
  <si>
    <t>Шамшыбай уулу Жыргалбек</t>
  </si>
  <si>
    <t>Абдираимов Жумавай Сатывалдыевич</t>
  </si>
  <si>
    <t>Барынбаев Айбек Калыгулович</t>
  </si>
  <si>
    <t>ОсОО "МАД Глобал"</t>
  </si>
  <si>
    <t>Очокбаев Шокан Мадыгулович</t>
  </si>
  <si>
    <t>Чаушев Аслан Мамедович</t>
  </si>
  <si>
    <t>Кучимкулова Гулзада Бейшеналиевна</t>
  </si>
  <si>
    <t>ОсОО "Алтын-Тоо Базары"</t>
  </si>
  <si>
    <t>Музапарова Тахмина Миркамаловна</t>
  </si>
  <si>
    <t>Койчиев Алмазбек Акимжанович</t>
  </si>
  <si>
    <t>Имашев Азамат Токтогулович</t>
  </si>
  <si>
    <t>Садаева Эльмира Жумагазиевна</t>
  </si>
  <si>
    <t>Санжар Камчыбек уулу</t>
  </si>
  <si>
    <t>Кудойбердиев Ойбек Маликович</t>
  </si>
  <si>
    <t>ОсОО "Компас.KG" (Компас.КейДжи)</t>
  </si>
  <si>
    <t>Мытыев Керимбек Чикитаевич</t>
  </si>
  <si>
    <t>ОсОО "Сатурн Сервис"</t>
  </si>
  <si>
    <t>ОсОО "Радекс групп"</t>
  </si>
  <si>
    <t>ОсОО "Тезоро"</t>
  </si>
  <si>
    <t>Оморалиев Мырзалы Суйуналиевич</t>
  </si>
  <si>
    <t>Давренов Ерлан Бекболатович</t>
  </si>
  <si>
    <t>Грехов Виктор Ювинарьевич</t>
  </si>
  <si>
    <t>ОсОО "ИМПОРТ-ЭКСПОРТ ЛТД"</t>
  </si>
  <si>
    <t>Казыбек уулу Марат</t>
  </si>
  <si>
    <t>Ызак уулу Адилбек</t>
  </si>
  <si>
    <t>Гейко Александр Александрович</t>
  </si>
  <si>
    <t>Жумабеков Мирлан Жумабекович</t>
  </si>
  <si>
    <t>Алакенов Эркинбек Чулумбаевич</t>
  </si>
  <si>
    <t>Калпаков Азамат Русланович</t>
  </si>
  <si>
    <t>Шайбеков Тилек Шайбекович</t>
  </si>
  <si>
    <t>Караева Азиза Керимбековна</t>
  </si>
  <si>
    <t>Парманкулов Замирбек Култаевич</t>
  </si>
  <si>
    <t>Мамбетов Калысбек Жолдошович</t>
  </si>
  <si>
    <t>Чолпонбаев Алмазбек Садырбекович</t>
  </si>
  <si>
    <t>Рахманов Пайзуллабек Паязбекович</t>
  </si>
  <si>
    <t>Нурканов Нурсултан Ишенбиевич</t>
  </si>
  <si>
    <t>Усоналиев Мирбек Муканович</t>
  </si>
  <si>
    <t>ОсОО "Жердин Белеги"</t>
  </si>
  <si>
    <t>Алиахунов Рустамбек Юлдашевич</t>
  </si>
  <si>
    <t>Абдыраимов Токторбек Кедейканович</t>
  </si>
  <si>
    <t>Орозалиев Темирлан Орозалиевич</t>
  </si>
  <si>
    <t>Мамбетов Жээнбек Акималиевич</t>
  </si>
  <si>
    <t xml:space="preserve">Гу Донгдонг </t>
  </si>
  <si>
    <t>Жаныбек уулу Арзымат</t>
  </si>
  <si>
    <t>Сатыбалдиев Ринад Бейсенбекович</t>
  </si>
  <si>
    <t>Курманов Ашымбек Джумадылович</t>
  </si>
  <si>
    <t>Кабаева Алтынай Каныбековна</t>
  </si>
  <si>
    <t>Исмаилов Желден Касымович</t>
  </si>
  <si>
    <t>Турдуалыев Айтегин Турдалыевич</t>
  </si>
  <si>
    <t>Минбаев Эламан Рашидович</t>
  </si>
  <si>
    <t>Губаев Равиль Ревкатович</t>
  </si>
  <si>
    <t>Ботникова Марина Ивановна</t>
  </si>
  <si>
    <t>Казыкулов Келдибек Токсонбаевич</t>
  </si>
  <si>
    <t>Надырбеков Накен Уланбекович</t>
  </si>
  <si>
    <t>Умбеталиев Диас Умбеталиевич</t>
  </si>
  <si>
    <t>Болокбаева Кулжан Асанкуловна</t>
  </si>
  <si>
    <t>Акылбеков Асылбек Акылбекович</t>
  </si>
  <si>
    <t>Жакенов Абдисамат Рашидович</t>
  </si>
  <si>
    <t>Асанбеков Сыргак Асанбекович</t>
  </si>
  <si>
    <t>Кожогулов Кумарбек Сансызбаевич</t>
  </si>
  <si>
    <t>Исмаилов Орозобек Калысбекович</t>
  </si>
  <si>
    <t>Магеза Харсан Салирович</t>
  </si>
  <si>
    <t>ОсОО "Сармат"</t>
  </si>
  <si>
    <t>Кадыров Рахман Алибаевич</t>
  </si>
  <si>
    <t>Досматов Рустам Азизбекович</t>
  </si>
  <si>
    <t>ОсОО "АТЛАНТИК"</t>
  </si>
  <si>
    <t>Капарова Акзыйнат Мелисовна</t>
  </si>
  <si>
    <t>ОсОО "СЭБ Курулуш"</t>
  </si>
  <si>
    <t>ОсОО "YAN HUANG"</t>
  </si>
  <si>
    <t>ОсОО "Гранд-Транс"</t>
  </si>
  <si>
    <t>ОсОО "Мираторг К"</t>
  </si>
  <si>
    <t>Нематов Назир Носирович</t>
  </si>
  <si>
    <t>ОсОО "Кыргыз нуру А.С."</t>
  </si>
  <si>
    <t>ОсОО "Дост-Курулуш"</t>
  </si>
  <si>
    <t>ОсОО "Грандиз-Р"</t>
  </si>
  <si>
    <t>Борошов Бакыт Бурканбекович</t>
  </si>
  <si>
    <t>Сапарбаев Нурбек Сатыбалдиевич</t>
  </si>
  <si>
    <t>ОсОО "БАЙТА"</t>
  </si>
  <si>
    <t>ЗАО "Вечерний Бишкек"</t>
  </si>
  <si>
    <t>Гугл Комерц Лтд</t>
  </si>
  <si>
    <t xml:space="preserve">Дуйшеев Бактияр </t>
  </si>
  <si>
    <t>Дуйшонбиев Эрик Болотович</t>
  </si>
  <si>
    <t>ОсОО "Старлайт-транс GоLd"</t>
  </si>
  <si>
    <t>Абдыкадыров Койчубек Акмазияович</t>
  </si>
  <si>
    <t>Маткеримов Джоодатбек Ашырбекович</t>
  </si>
  <si>
    <t>ОсОО "Париж и КО"</t>
  </si>
  <si>
    <t>Чопбай уулу Эрлан</t>
  </si>
  <si>
    <t>ОсОО "Оздоровительный пансионат "Рохат-НБУ"</t>
  </si>
  <si>
    <t>Жети-Огузский район</t>
  </si>
  <si>
    <t>ОсОО "Тейит"</t>
  </si>
  <si>
    <t>Мамытова Токтогул Сатыкеевна</t>
  </si>
  <si>
    <t>Таалайбек уулу Рамил</t>
  </si>
  <si>
    <t>ОсОО "Бек-Аман"</t>
  </si>
  <si>
    <t>ОсОО "Гималай-Тоо"</t>
  </si>
  <si>
    <t>Мырзабек уулу Тынчтык</t>
  </si>
  <si>
    <t xml:space="preserve">Управление по контролю за субъектами СЭЗ города Бишкек </t>
  </si>
  <si>
    <t>ОсОО "ДЭЭР"</t>
  </si>
  <si>
    <t>ОсОО "Евразия Брок Сервис"</t>
  </si>
  <si>
    <t>ОсОО "Тайга КейДжи"</t>
  </si>
  <si>
    <t>ОсОО "Торговый Дом ЯРАВ"</t>
  </si>
  <si>
    <t>ОсОО "Радуга International Co., LTD"</t>
  </si>
  <si>
    <t>Жусупбаева Алтынай Ганибаевна</t>
  </si>
  <si>
    <t>Ибраимова Айгерим Маматкасымовна</t>
  </si>
  <si>
    <t>ОсОО "Ийман ЛТД"</t>
  </si>
  <si>
    <t>ОсОО "СТОУН ИНВЕСТМЕНТ ГРУП"</t>
  </si>
  <si>
    <t>ОсОО "Йеллоустоун Групп"</t>
  </si>
  <si>
    <t>Жуманалиев Куттуубек Жуманалиевич</t>
  </si>
  <si>
    <t>ОсОО "Универсал профи"</t>
  </si>
  <si>
    <t>ОсОО "ТБ СТРОЙ КОМПАНИ"</t>
  </si>
  <si>
    <t>Алтынбек кызы Чолпон</t>
  </si>
  <si>
    <t>Муратов Омурбек Абдувапович</t>
  </si>
  <si>
    <t>ОсОО "Мубарак Карго"</t>
  </si>
  <si>
    <t xml:space="preserve">Якубжанов Миракбар </t>
  </si>
  <si>
    <t xml:space="preserve">Якубжанова Махпузахан </t>
  </si>
  <si>
    <t>Осмонов Асылбек Кубанычбекович</t>
  </si>
  <si>
    <t>ОсОО "Бэртон"</t>
  </si>
  <si>
    <t>Турдукулова Мира Раимжановна</t>
  </si>
  <si>
    <t>ОсОО "Каримбаева С"</t>
  </si>
  <si>
    <t>Азимова Эльмира Нурахметовна</t>
  </si>
  <si>
    <t>ОсОО "Алтунбаш"</t>
  </si>
  <si>
    <t>Чон-Алайский район</t>
  </si>
  <si>
    <t>Управление по контролю за крупными налогоплательщиками по г.Ош и Ошской области</t>
  </si>
  <si>
    <t>ОсОО "Нестро"</t>
  </si>
  <si>
    <t xml:space="preserve">Асылбек уулу Тимур </t>
  </si>
  <si>
    <t xml:space="preserve">Кенеш кызы Нургул </t>
  </si>
  <si>
    <t>ОсОО "Талдык Строй"</t>
  </si>
  <si>
    <t>ОсОО "Гуд Сервис"</t>
  </si>
  <si>
    <t>ОсОО "Бишкек Тех Строй"</t>
  </si>
  <si>
    <t xml:space="preserve">Дуйшенбек уулу Ренат </t>
  </si>
  <si>
    <t xml:space="preserve">Эдилбекова Кулипа </t>
  </si>
  <si>
    <t>ОсОО "ЛОКА"</t>
  </si>
  <si>
    <t>Уразметова Гулзат Касымовна</t>
  </si>
  <si>
    <t>00607199810014</t>
  </si>
  <si>
    <t>00704199910093</t>
  </si>
  <si>
    <t>Ассоциация водопользователей "Бургондусуу"</t>
  </si>
  <si>
    <t>42408202210431</t>
  </si>
  <si>
    <t>41405201110018</t>
  </si>
  <si>
    <t>00111199310016</t>
  </si>
  <si>
    <t>11210195900268</t>
  </si>
  <si>
    <t>Туралиева Нуржамал Дарманбековна</t>
  </si>
  <si>
    <t>42508202210154</t>
  </si>
  <si>
    <t>01805199810038</t>
  </si>
  <si>
    <t>02307199910117</t>
  </si>
  <si>
    <t>Ассоциация водопользователей "Кыла"</t>
  </si>
  <si>
    <t>01005199910021</t>
  </si>
  <si>
    <t>01307200610055</t>
  </si>
  <si>
    <t>00502199810019</t>
  </si>
  <si>
    <t>03012201710105</t>
  </si>
  <si>
    <t>ОсОО "Ак-Кен"</t>
  </si>
  <si>
    <t>01410199910077</t>
  </si>
  <si>
    <t>41401200410017</t>
  </si>
  <si>
    <t>03011200910398</t>
  </si>
  <si>
    <t>42408202210281</t>
  </si>
  <si>
    <t>42411201710198</t>
  </si>
  <si>
    <t>01310200310100</t>
  </si>
  <si>
    <t>00311201510018</t>
  </si>
  <si>
    <t>01804199410030</t>
  </si>
  <si>
    <t>02606200610050</t>
  </si>
  <si>
    <t>00304200610123</t>
  </si>
  <si>
    <t>00903200710034</t>
  </si>
  <si>
    <t>02910201210021</t>
  </si>
  <si>
    <t>ОсОО "САРУУ-ТРАНС"</t>
  </si>
  <si>
    <t>Учреждение "Тонский районный отдел образования"</t>
  </si>
  <si>
    <t>00812199310022</t>
  </si>
  <si>
    <t>01610200610083</t>
  </si>
  <si>
    <t>00203199410081</t>
  </si>
  <si>
    <t>00109199310108</t>
  </si>
  <si>
    <t>42411201710218</t>
  </si>
  <si>
    <t>42112200410021</t>
  </si>
  <si>
    <t>42311201710037</t>
  </si>
  <si>
    <t>01410199210130</t>
  </si>
  <si>
    <t>01804200610083</t>
  </si>
  <si>
    <t>00612200110140</t>
  </si>
  <si>
    <t>00411201310032</t>
  </si>
  <si>
    <t>02803200010229</t>
  </si>
  <si>
    <t>42811201710071</t>
  </si>
  <si>
    <t>02803201110191</t>
  </si>
  <si>
    <t>ОсОО "Разрез Бузурманкул-Т"</t>
  </si>
  <si>
    <t>ОсОО "Нарктоо"</t>
  </si>
  <si>
    <t>ОсОО "YUМA Company" (ЮМА Компани)</t>
  </si>
  <si>
    <t>02501199510067</t>
  </si>
  <si>
    <t>40112201710060</t>
  </si>
  <si>
    <t>02505200110080</t>
  </si>
  <si>
    <t>01311200210209</t>
  </si>
  <si>
    <t>00404199810056</t>
  </si>
  <si>
    <t>ОАО "Касиет"</t>
  </si>
  <si>
    <t>02804200410384</t>
  </si>
  <si>
    <t>00805198010018</t>
  </si>
  <si>
    <t>02602201310055</t>
  </si>
  <si>
    <t>43011201710219</t>
  </si>
  <si>
    <t>00508201310186</t>
  </si>
  <si>
    <t>02005201610365</t>
  </si>
  <si>
    <t>02410201610191</t>
  </si>
  <si>
    <t>02105200110125</t>
  </si>
  <si>
    <t>Сельское общественное объединение потребителей питьевой воды "Таза суу-Сокулук"</t>
  </si>
  <si>
    <t>42601199610341</t>
  </si>
  <si>
    <t>00604201610068</t>
  </si>
  <si>
    <t>02408199210020</t>
  </si>
  <si>
    <t>ОсОО "Фирма "Азия"</t>
  </si>
  <si>
    <t>Турецко-Кыргызское ОсОО "АС"</t>
  </si>
  <si>
    <t>МП "Бишкексвет"</t>
  </si>
  <si>
    <t>ОсОО "Аранео"</t>
  </si>
  <si>
    <t>Кара-Кульжинский район</t>
  </si>
  <si>
    <t>Бакиров Дамир Алибаевич</t>
  </si>
  <si>
    <t>ОсОО "Алина-Ж"</t>
  </si>
  <si>
    <t>Учреждение "Багышский айыл Окмоту Багышского айылного аймака"</t>
  </si>
  <si>
    <t>Ражапов Темурлан Алмазбекович</t>
  </si>
  <si>
    <t>ОсОО “Форбиз”</t>
  </si>
  <si>
    <t>ОсОО "Уолл-Стрит"</t>
  </si>
  <si>
    <t>ОсОО "ДЕКОР-СТРОЙ"</t>
  </si>
  <si>
    <t>ОсОО "Жалал-Абад ЖБИ"</t>
  </si>
  <si>
    <t>Филиал ОАО "Национальная электрическая сеть Кыргызстана" - Жалал-Абадское предприятие электрических сетей</t>
  </si>
  <si>
    <t>ОсОО "Дизель Комплект"</t>
  </si>
  <si>
    <t>ОсОО "Клиника профессора Асымбековой"</t>
  </si>
  <si>
    <t>ОсОО "Чехан и Ко"</t>
  </si>
  <si>
    <t>ОсОО «House of Sustainability»</t>
  </si>
  <si>
    <t>ОсОО "РЦТ"</t>
  </si>
  <si>
    <t>ОсОО "Автотрансстрой Плюс"</t>
  </si>
  <si>
    <t>ОсОО «Artis Suho»</t>
  </si>
  <si>
    <t>ОсОО «Спецстроймонтаж-Беркут»</t>
  </si>
  <si>
    <t>Терентьева Татьяна Владимировна</t>
  </si>
  <si>
    <t>Шабданалиева Назима Нурбековна</t>
  </si>
  <si>
    <t>Аскеров Марат Мирбекович</t>
  </si>
  <si>
    <t>ОсОО "Монтис Костракшн"</t>
  </si>
  <si>
    <t>Абдылдаева Айпери Молдалиевна</t>
  </si>
  <si>
    <t>Солтоева Эльмира Курманбековна</t>
  </si>
  <si>
    <t>ОсОО "Аз-Бет Строй"</t>
  </si>
  <si>
    <t>Чегебаева Эльмира Кагаздыевна</t>
  </si>
  <si>
    <t>ОсОО «Рико Групп»</t>
  </si>
  <si>
    <t>ОсОО "Энесай Кызылык"</t>
  </si>
  <si>
    <t>ОсОО "АК Трейд"</t>
  </si>
  <si>
    <t>ОсОО «ATLANTIK TRANSPORT»</t>
  </si>
  <si>
    <t>Кубаева Мадина Борисовна</t>
  </si>
  <si>
    <t>ОсОО "Мир газ"</t>
  </si>
  <si>
    <t>Мавлянов Эламан Манасович</t>
  </si>
  <si>
    <t>ОсОО "РЮЗ компани"</t>
  </si>
  <si>
    <t>ОсОО «Бетта Плюс»</t>
  </si>
  <si>
    <t>ОсОО «Shamalin-Ресурс»</t>
  </si>
  <si>
    <t>Курманкожоев Мирлан Табылдиевич</t>
  </si>
  <si>
    <t>Кодуранов Данияр Абдымажитович</t>
  </si>
  <si>
    <t>ОсОО "Топ Трейд"</t>
  </si>
  <si>
    <t>ОсОО "СОЛТО КАРГО"</t>
  </si>
  <si>
    <t>ОсОО "Хелси Фуд"</t>
  </si>
  <si>
    <t>Алмазова Умут Алмазовна</t>
  </si>
  <si>
    <t>ОсОО "Колесо 312"</t>
  </si>
  <si>
    <t>ОсОО "ДЖЭБ"</t>
  </si>
  <si>
    <t>ОсОО "Акэль групп"</t>
  </si>
  <si>
    <t>ОсОО «Техинсервис»</t>
  </si>
  <si>
    <t>ОсОО "Генезис Плюс"</t>
  </si>
  <si>
    <t>ОсОО "Ак-Бема"</t>
  </si>
  <si>
    <t>ОсОО "МТК Каспий"</t>
  </si>
  <si>
    <t>ОсОО «MIRACLE» (МИРЕКЛ)</t>
  </si>
  <si>
    <t>Сагынбаева Рано Эркиновна</t>
  </si>
  <si>
    <t>ОсОО «Рефа Сервис»</t>
  </si>
  <si>
    <t>Сыдыков Замирбек Абдиашимович</t>
  </si>
  <si>
    <t>Ильясов Рамин Фейрузович</t>
  </si>
  <si>
    <t>ОсОО «Asia Cement Trading»</t>
  </si>
  <si>
    <t>ОсОО "Хансарай"</t>
  </si>
  <si>
    <t>Исаматов Адилет Джаныбекович</t>
  </si>
  <si>
    <t>ОсОО "Intera" (Интера)</t>
  </si>
  <si>
    <t>Калмаматова Гульмира Абдрахмановна</t>
  </si>
  <si>
    <t>ОсОО "Новалайт"</t>
  </si>
  <si>
    <t>Солтонова Айнура Сыйдалиевна</t>
  </si>
  <si>
    <t>Курманбеков Элдос Курманбекович</t>
  </si>
  <si>
    <t>ОсОО "Экспо-Трейд"</t>
  </si>
  <si>
    <t>ОсОО "БишкекВторРесурс"</t>
  </si>
  <si>
    <t>ОсОО "RM&amp;K" (ЭрЭм енд Ка)</t>
  </si>
  <si>
    <t>00108201810069</t>
  </si>
  <si>
    <t>ОсОО "Азия Финанс Логистик"</t>
  </si>
  <si>
    <t>ОсОО "Трейд Логистик Плюс"</t>
  </si>
  <si>
    <t>ОсОО "Адмит"</t>
  </si>
  <si>
    <t>ОсОО «ЛТД Бек и Ко»</t>
  </si>
  <si>
    <t>ОсОО «Cargo Transportation LTD»</t>
  </si>
  <si>
    <t>ОсОО «NewProfitGroup» (НьюПрофитГрупп)</t>
  </si>
  <si>
    <t>Хуан Чжи Фэн</t>
  </si>
  <si>
    <t>ОсОО "Эпсилон Сервис"</t>
  </si>
  <si>
    <t>ОсОО "Кади Трейд"</t>
  </si>
  <si>
    <t>ОсОО «Спектр Групп Лтд»</t>
  </si>
  <si>
    <t>ОсОО «Технотекс»</t>
  </si>
  <si>
    <t>Атабеков Нурбек Бактыбекович</t>
  </si>
  <si>
    <t>ОсОО «Шах Логистик»</t>
  </si>
  <si>
    <t>ОсОО «Arhar-Lachyn» (Архар-Лачын)</t>
  </si>
  <si>
    <t>ОсОО «SLpress» (ЭсЭл Пресс)</t>
  </si>
  <si>
    <t>Ахметов Бекзод Бахтиярович</t>
  </si>
  <si>
    <t>ОсОО «UT-Service» (ЮТ-Сервис)</t>
  </si>
  <si>
    <t>ОсОО «Интеркапитал»</t>
  </si>
  <si>
    <t>ОсОО «Мыкты Строй»</t>
  </si>
  <si>
    <t>Акматжанов Залкар Муратович</t>
  </si>
  <si>
    <t>Сайтунов Закир Харкиевич</t>
  </si>
  <si>
    <t>Аскаров Таалайбек Рыскулбекович</t>
  </si>
  <si>
    <t>ОсОО "ПЕГАС-УМА"</t>
  </si>
  <si>
    <t>ОсОО "Спарко Индастри"</t>
  </si>
  <si>
    <t>ОсОО "Фаворит Технолоджи"</t>
  </si>
  <si>
    <t>Ким Юлия Владимировна</t>
  </si>
  <si>
    <t>Кенешова Бермет Кожомуратовна</t>
  </si>
  <si>
    <t>Сатыкулов Эрнис Кубатбекович</t>
  </si>
  <si>
    <t>Атабаев Алмаз Муканбедиевич</t>
  </si>
  <si>
    <t>02408197710014</t>
  </si>
  <si>
    <t>Учреждение "Байтикский айыл окмоту Аламудунского района Чуйской области"</t>
  </si>
  <si>
    <t>ОсОО "ТРАНЗИТ СНГ"</t>
  </si>
  <si>
    <t>Таналиев Арсен Султанбекович</t>
  </si>
  <si>
    <t>40112201710073</t>
  </si>
  <si>
    <t>Искаков Улан Джыргалбекович</t>
  </si>
  <si>
    <t>02802199710114</t>
  </si>
  <si>
    <t>Маматов Самат Маратбекович</t>
  </si>
  <si>
    <t>ОсОО "Тайга-Компани"</t>
  </si>
  <si>
    <t>Джусупова Гульжан Зарыпбековна</t>
  </si>
  <si>
    <t>ОсОО «ЗиЛ Company» (ЗиЛ Компани)</t>
  </si>
  <si>
    <t>Короткова Наталья Владимировна</t>
  </si>
  <si>
    <t>ОсОО "Навита"</t>
  </si>
  <si>
    <t>«Объединение пастбищепользователе» Ысык-Атинского аильного округа Ысык-Атинского района Чуйской области</t>
  </si>
  <si>
    <t>ОсОО "Кум добо"</t>
  </si>
  <si>
    <t>ОсОО "Алга Басар"</t>
  </si>
  <si>
    <t>01010200310204</t>
  </si>
  <si>
    <t>40112201710017</t>
  </si>
  <si>
    <t>02411199810108</t>
  </si>
  <si>
    <t>42010199910158</t>
  </si>
  <si>
    <t>00908200410086</t>
  </si>
  <si>
    <t>Ассоциация водопользователей "Торпу"</t>
  </si>
  <si>
    <t>ОсОО «Coal Enterprises»</t>
  </si>
  <si>
    <t>Учреждение "Жумгальский районный отдел образования"</t>
  </si>
  <si>
    <t>Филиал ОАО "Национальная электрическая сеть Кыргызстана"- Нарынское предприятие электрических сетей</t>
  </si>
  <si>
    <t>ОсОО "КыргызДримХаус"</t>
  </si>
  <si>
    <t>Филиал "Нарынское межрайонное производственное объединение теплоснабжения" ГП "Кыргызтеплоэнерго"</t>
  </si>
  <si>
    <t>Имашев Салават Жолдошевич</t>
  </si>
  <si>
    <t>Бакланов Анатолий Николаевич</t>
  </si>
  <si>
    <t>Филиал ОАО «Национальная электрическая сеть Кыргызстана» -Иссык-Кульское предприятие электрических сетей</t>
  </si>
  <si>
    <t>Учреждение "Генеральная дирекция Свободной экономической зоны "Каракол"</t>
  </si>
  <si>
    <t>ОсОО "Колдоо Шоп"</t>
  </si>
  <si>
    <t>Учреждение "Айыл окмоту Чон-Сары-Ойского айылного аймака"</t>
  </si>
  <si>
    <t>Учреждение "Дом отдыха "Ала-Тоо" Федерации профсоюзов Кыргызстана"</t>
  </si>
  <si>
    <t>00212200510012</t>
  </si>
  <si>
    <t>ОсОО "Экспорт Инвест"</t>
  </si>
  <si>
    <t>Мамбеталиева Надирахан Музратпековна</t>
  </si>
  <si>
    <t>Эргешов Сейит Абдималикович</t>
  </si>
  <si>
    <t>ОсОО" Руслана"</t>
  </si>
  <si>
    <t>ОсОО "Эл Пласт"</t>
  </si>
  <si>
    <t>Сулайманова Жыпаргул Турдубаевна</t>
  </si>
  <si>
    <t>ОсОО "Элмир Групп"</t>
  </si>
  <si>
    <t>ОсОО "БайСеллСтан"</t>
  </si>
  <si>
    <t>Абдылазова Фериде Алмазовна</t>
  </si>
  <si>
    <t>ОсОО "Ислаев"</t>
  </si>
  <si>
    <t>ОсОО "АС Глобал"</t>
  </si>
  <si>
    <t>Нурматов Асылбек Токсоналиевич</t>
  </si>
  <si>
    <t>Атанбаев Айтмерек Акылбекович</t>
  </si>
  <si>
    <t>Абдыбачаева Майрамкуль Токоновна</t>
  </si>
  <si>
    <t>Эргашева Мохидилхан Носировна</t>
  </si>
  <si>
    <t xml:space="preserve">Оморбек уулу Нуртилек </t>
  </si>
  <si>
    <t>ОсОО "Сакура ЛТД"</t>
  </si>
  <si>
    <t>Нематов Мухаммадюсуф Эркинжанович</t>
  </si>
  <si>
    <t>Бегалиев Курманбек Сапаралиевич</t>
  </si>
  <si>
    <t>Бакыт уулу Нурсултан</t>
  </si>
  <si>
    <t>ОсОО "Достук А"</t>
  </si>
  <si>
    <t>ОсОО "Форест.Кейджи"</t>
  </si>
  <si>
    <t>ОАО "Ош-Дюбек"</t>
  </si>
  <si>
    <t>02208202310059</t>
  </si>
  <si>
    <t>Учреждение "Центр семейной медицины Кара-Суйского района Ошской области"</t>
  </si>
  <si>
    <t>ОсОО "Жаз Майнинг"</t>
  </si>
  <si>
    <t xml:space="preserve">Максытов Абдимиталип </t>
  </si>
  <si>
    <t>ОсОО "Алымбек ЛТД"</t>
  </si>
  <si>
    <t>Учреждение "Ноокатский районный отдел образования"</t>
  </si>
  <si>
    <t>Ашимов Кадырбек Асилбекович</t>
  </si>
  <si>
    <t>Жамалдинов Собиржон Салахидинович</t>
  </si>
  <si>
    <t>Халиев Азирет Тажидинович</t>
  </si>
  <si>
    <t xml:space="preserve">Жоробеков Женишбек </t>
  </si>
  <si>
    <t>Кыргызбаев Артур Саидахматович</t>
  </si>
  <si>
    <t>ОсОО "Элид Строй"</t>
  </si>
  <si>
    <t>ОсОО "Гранд-Лимитед"</t>
  </si>
  <si>
    <t>Юлдашев Мамыржан Ганижанович</t>
  </si>
  <si>
    <t>ОсОО "СКАЙ"</t>
  </si>
  <si>
    <t>Мырзабаева Гулназ Мейманалиевна</t>
  </si>
  <si>
    <t>02003195810014</t>
  </si>
  <si>
    <t>42303202310078</t>
  </si>
  <si>
    <t>01009199110011</t>
  </si>
  <si>
    <t>Алыкулов Сыргабай Андашович</t>
  </si>
  <si>
    <t>ОсОО "Орозбай Ажы"</t>
  </si>
  <si>
    <t>Ассоциация водопользователей "Алтын-Суу"</t>
  </si>
  <si>
    <t>ОсОО "Байсары"</t>
  </si>
  <si>
    <t>Сулайманова Пазилат Жапарбаевна</t>
  </si>
  <si>
    <t>Кошбаков Муратбек Мухтарович</t>
  </si>
  <si>
    <t>ОсОО "Кыргызско-Узбекский Торговый Дом "Дружба"</t>
  </si>
  <si>
    <t>ГП «Кыргызкомур» при Министерстве энергетики КР</t>
  </si>
  <si>
    <t>МП "Хозрасчетный участок "Водоканал"</t>
  </si>
  <si>
    <t>Филиал "Кара-Кульское предприятие теплоснабжения" ГП "Кыргызтеплоэнерго"</t>
  </si>
  <si>
    <t>Филиал ОсОО "АЗВИРТ" в КР</t>
  </si>
  <si>
    <t>Филиал "Арек Роад" ОсОО "Арек строй"</t>
  </si>
  <si>
    <t>МП "Кызыл-Туу"</t>
  </si>
  <si>
    <t>Филиал "Беловодское межрайонное предприятие тепловодоснабжения" ГП "Кыргызтеплоэнерго"</t>
  </si>
  <si>
    <t>Учреждение "Государственный племенной завод "Сокулук" при Министерстве сельского хозяйства КР</t>
  </si>
  <si>
    <t>Филиал "Кара-Балтинское производственное объединение электротеплоснабжения и водообеспечения" ГП "Кыргызтеплоэнерго"</t>
  </si>
  <si>
    <t>ОсОО "IKZ" (ИКЗ)</t>
  </si>
  <si>
    <t>Филиал ОсОО "Гермес" в КР</t>
  </si>
  <si>
    <t>ОсОО "Строительно-производственная компания "АДИС"</t>
  </si>
  <si>
    <t>Учреждение "Фрунзенский лесхоз Лесной службы при Министерстве сельского хозяйства КР"</t>
  </si>
  <si>
    <t>Филиал № 31 ГП "Келечек" при Государственной службе исполнения наказаний при Правительстве КР</t>
  </si>
  <si>
    <t>ГУ "Республиканская племенная станция "Элита" Департамента пастбищ и племенного животноводства при Министерстве сельского хозяйства КР"</t>
  </si>
  <si>
    <t>МП "Аламудун Авто Транс"</t>
  </si>
  <si>
    <t>Учреждение "Беловодское детское психоневрологическое социальное стационарное учреждение Министерства труда и социального обеспечения и миграции КР"</t>
  </si>
  <si>
    <t>Ивановский филиал ОАО "РСК Банк"</t>
  </si>
  <si>
    <t>Филиал "Токмокское предприятие теплоснабжения" ГП "Кыргызтеплоэнерго"</t>
  </si>
  <si>
    <t>Профессиональный союз „Жумгальский районный комитет профсоюза работников образования и науки Нарынской области профессионального союза работников образования и науки КР"</t>
  </si>
  <si>
    <t>МП "Чаек-Водоканал"</t>
  </si>
  <si>
    <t>Учреждение "Государственная кинодирекция Иссык-Кульской области Департамента кинематографии при Министерстве культуры, информации, спорта и молодежной политики КР"</t>
  </si>
  <si>
    <t>Каракольское МП "Водоканал"</t>
  </si>
  <si>
    <t>ГП "Центр развития этнокультуры, конно-спортивной индустрии и племенного коневодства" при Государственном агентстве по делам молодежи, физической культуры и спорта при Правительстве КР"</t>
  </si>
  <si>
    <t>ГП «Санаторий Иссык-Куль Аврора» при Управление делами Президента КР»</t>
  </si>
  <si>
    <t>Филиал государственного АО "Ташкентское авиационное производственное объединение им.В.П. Чкалова" пансионат "Золотые пески"</t>
  </si>
  <si>
    <t>МП "Чолпон-Атинское предприятие "Водоканал"</t>
  </si>
  <si>
    <t>Учреждение "Дом отдыха Национальной Академии наук КР"</t>
  </si>
  <si>
    <t>Филиал "Пансионат "Рахат" ГП "Дирекция по управлению объектами" при Фонде по управлению государственным имуществом при Министерстве экономики и коммерции КР"</t>
  </si>
  <si>
    <t>Филиал "Чолпон-Атинское предприятие теплоснабжения" ГП "Кыргызтеплоэнерго"</t>
  </si>
  <si>
    <t>ГП "Чон-Алайкомур"</t>
  </si>
  <si>
    <t>ОсОО "Компания "КОМФОРТ"</t>
  </si>
  <si>
    <t xml:space="preserve">Начальник ОКВЗ УПП </t>
  </si>
  <si>
    <t>А.К.Пазылов</t>
  </si>
  <si>
    <t>02412200310221</t>
  </si>
  <si>
    <t>01505200610140</t>
  </si>
  <si>
    <t>ОсОО "Дикс Групп"</t>
  </si>
  <si>
    <t>ОсОО «ЛТД ИМПОРТ»</t>
  </si>
  <si>
    <t>ОсОО «Агро Инвест Зерно»</t>
  </si>
  <si>
    <t>Жен Ли Кинг</t>
  </si>
  <si>
    <t>Мырзабек уулу Майрамбек</t>
  </si>
  <si>
    <t>Молдожанов Кылычбек Бактыбекович</t>
  </si>
  <si>
    <t>Лалаза Равиль Нурвундинович</t>
  </si>
  <si>
    <t>ОсОО "Мега Рай Компани"</t>
  </si>
  <si>
    <t>Макишова Мунара Орозбековна</t>
  </si>
  <si>
    <t>Зикиряев Жумабек Турсуналиевич</t>
  </si>
  <si>
    <t xml:space="preserve">ОсОО "ИсКад" </t>
  </si>
  <si>
    <t>ОсОО "ЧуйДорСервис"</t>
  </si>
  <si>
    <t xml:space="preserve">Хуан Дун Мин </t>
  </si>
  <si>
    <t>АО "Кызыл-Кийский табачно-ферментационный завод"</t>
  </si>
  <si>
    <t>ОАО "Хайдарканское ртутное акционерное общество"</t>
  </si>
  <si>
    <t xml:space="preserve">Аскаров Эркин </t>
  </si>
  <si>
    <t>00307200110113</t>
  </si>
  <si>
    <t>02710200310165</t>
  </si>
  <si>
    <t>Учреждение «Лицей-интернат имени Токтогула Бабанова для одаренных детей с углубленным изучением информатики и математики»</t>
  </si>
  <si>
    <t>Оскоев Бакыт Болотбекович</t>
  </si>
  <si>
    <t>Карагулов Азиз Алмаматович</t>
  </si>
  <si>
    <t>Садатова Динара Тохировна</t>
  </si>
  <si>
    <t>Филиал ОсОО "Авиньен" "Дирекция строящего кыргызского ферросплавного завода"</t>
  </si>
  <si>
    <t>ОсОО "Vertex Gold Company"</t>
  </si>
  <si>
    <t>ОАО "Нарынспецгидроэнергомонтаж"</t>
  </si>
  <si>
    <t>Тапаева Жыпаргуль Арстанбековна</t>
  </si>
  <si>
    <t>Суеркулов Уланбек Токтосунович</t>
  </si>
  <si>
    <t>Сельскохозяйственный производственный кооператив "Жорохан"</t>
  </si>
  <si>
    <t>Военная часть полевая почта №20022</t>
  </si>
  <si>
    <t>Филиал "Кантское предприятие теплоснабжения" ГП "Кыргызтеплоэнерго"</t>
  </si>
  <si>
    <t xml:space="preserve">Чубаков Эрмек </t>
  </si>
  <si>
    <t>ОсОО "БАЙ ЭК"</t>
  </si>
  <si>
    <t>ОсОО "АРС-Коммерц Групп"</t>
  </si>
  <si>
    <t>ОАО "Кыргыз Тоо Таш"</t>
  </si>
  <si>
    <t>Азылов Насипбек Кумарович</t>
  </si>
  <si>
    <t>ОсДО "Ломбард "Бекбол"</t>
  </si>
  <si>
    <t>ОсОО "Дельта Трейд КейДжи"</t>
  </si>
  <si>
    <t>Крестьянское (фермерское) хозяйство "Милан"</t>
  </si>
  <si>
    <t>Тойкинова Бактыгуль Догдурбаевна</t>
  </si>
  <si>
    <t>Учреждение "Шопоковский городской комбинат благоустройства"</t>
  </si>
  <si>
    <t>Сельское общественное обьединение потребителей питьевой воды "Кутуян-Башат"</t>
  </si>
  <si>
    <t>ОсОО «Sapphire Stroy»</t>
  </si>
  <si>
    <t>Черкашин Николай Алексеевич</t>
  </si>
  <si>
    <t>Учреждение "Северо-Восточная таможня"</t>
  </si>
  <si>
    <t>Учреждение "Иссык-Кульский Областной детский оздоровительный спортивный комплекс "Маяк Тюп"</t>
  </si>
  <si>
    <t>ОсОО "Ысык-Кол Сут"</t>
  </si>
  <si>
    <t>Филиал "Каракольское предприятие теплоснабжения" ГП "Кыргызтеплоэнерго"</t>
  </si>
  <si>
    <t>Представительство ОсОО "Циндаоская корпорация дорог и мостов "Лонг Хай" в КР"</t>
  </si>
  <si>
    <t>Учреждение «Балыкчинский колледж при Кыргызском государственном техническом Университете имени И.Раззаков»</t>
  </si>
  <si>
    <t>Учреждение "Санаторий "Джети-Огуз" Федерациии профсоюзов Кыргызстана"</t>
  </si>
  <si>
    <t>Филиал "Пансионат Бостери" ГП "Витязь" при Фонде по управлению государственным имуществом при Правительстве КР"</t>
  </si>
  <si>
    <t>ОсОО "Импорт Тим"</t>
  </si>
  <si>
    <t>ОсОО "Фантом Кэй Джи"</t>
  </si>
  <si>
    <t>ОсОО "Юмикор"</t>
  </si>
  <si>
    <t>ОсОО "Галант трейдинг"</t>
  </si>
  <si>
    <t>ОсОО "НЕФТЕПРОМ"</t>
  </si>
  <si>
    <t>ОсОО "Азимут Транс"</t>
  </si>
  <si>
    <t>ОсОО "Промгаз Ала-Тоо"</t>
  </si>
  <si>
    <t>ОсОО "Темир Сервис КейДжи"</t>
  </si>
  <si>
    <t>ОсОО "Специнвест"</t>
  </si>
  <si>
    <t>ОсОО "НАРИМАН КЕЙ ДЖИ"</t>
  </si>
  <si>
    <t>ОсОО «Bishkek International Machine»</t>
  </si>
  <si>
    <t>ОсОО "Евро-Азия Логистик"</t>
  </si>
  <si>
    <t>ОсОО "Визиком"</t>
  </si>
  <si>
    <t>ОсОО "Строй-Юг-КS"</t>
  </si>
  <si>
    <t>ОсОО "Диалог Групп Юг"</t>
  </si>
  <si>
    <t>ОсОО "ТАС и КО"</t>
  </si>
  <si>
    <t>Сулайманов Мамир Махаматжанович</t>
  </si>
  <si>
    <t>Исаев Абдыкапар Паизович</t>
  </si>
  <si>
    <t>ОсОО "Изоэл"</t>
  </si>
  <si>
    <t>Абдижалилов Ибрагим Замирбекович</t>
  </si>
  <si>
    <t>ОсОО "Ош Нур Жол Строй"</t>
  </si>
  <si>
    <t>ОсОО "Меркурий КейДжи"</t>
  </si>
  <si>
    <t>ОсОО "Алтай Логистик"</t>
  </si>
  <si>
    <t>ОсОО "Интел Логистик"</t>
  </si>
  <si>
    <t>ОсОО "Айсберг ИНК"</t>
  </si>
  <si>
    <t>ОсОО "Ноокен Сити"</t>
  </si>
  <si>
    <t>ОсОО "Ноокен Бишкек"</t>
  </si>
  <si>
    <t>ОсОО "ФОРТРЕСС ГРУПП"</t>
  </si>
  <si>
    <t>Максыталиев Мухамед Мурзапаязович</t>
  </si>
  <si>
    <t>ОсОО "КАРМЕЛ"</t>
  </si>
  <si>
    <t>Мырзаев Рустамбек Самаганович</t>
  </si>
  <si>
    <t>Курманбаев Сапарбек Абдижалилович</t>
  </si>
  <si>
    <t>Оморов Куттубек Береналиевич</t>
  </si>
  <si>
    <t>Аднаева Ыкыбал Потаевна</t>
  </si>
  <si>
    <t>ОсОО "НУРЭНАН групп"</t>
  </si>
  <si>
    <t>ОсОО "ПРОГРЕСС Б"</t>
  </si>
  <si>
    <t>ОсОО "Салым трейд"</t>
  </si>
  <si>
    <t>ОсОО "Темир Строй Кей Дж"</t>
  </si>
  <si>
    <t>Сидоренко Анатолий Анатольевич</t>
  </si>
  <si>
    <t>ОсОО "Строй Надеж"</t>
  </si>
  <si>
    <t>ОсОО "Номад стоун"</t>
  </si>
  <si>
    <t>Исаева Чынара Жолочуевна</t>
  </si>
  <si>
    <t>ОсОО "Проф Лог Сервис"</t>
  </si>
  <si>
    <t>ОсОО "Скай Капитал"</t>
  </si>
  <si>
    <t>ОсОО "Сайкал групп"</t>
  </si>
  <si>
    <t>ОсОО "ФАЙЗ-М"</t>
  </si>
  <si>
    <t>Сулайманов Жалынбек Тыныбекович</t>
  </si>
  <si>
    <t>ОсОО "А.С.А. Люкс"</t>
  </si>
  <si>
    <t>00703201810368</t>
  </si>
  <si>
    <t>ОсОО "Компания Золотой Век"</t>
  </si>
  <si>
    <t>ОсОО "Транспортейшн-ЛТД"</t>
  </si>
  <si>
    <t>Казакбаев Торокан Жээнбекович</t>
  </si>
  <si>
    <t>Усеналиев Чингиз Талантбекович</t>
  </si>
  <si>
    <t>ОсОО "МЗ СТРОЙ"</t>
  </si>
  <si>
    <t xml:space="preserve">Моминов Эркин Хушвакович </t>
  </si>
  <si>
    <t>Учреждение "Айыл окмоту Бостеринского айылного аймака"</t>
  </si>
  <si>
    <t>ОсОО "Ысык-Кол Ресурс"</t>
  </si>
  <si>
    <t>ОсОО "Каганат-Курулуш"</t>
  </si>
  <si>
    <t>Рыскулов Самат Бактыбекович</t>
  </si>
  <si>
    <t>Матеев Алишер Абдуллаевич</t>
  </si>
  <si>
    <t>02303202210089</t>
  </si>
  <si>
    <t>02906202210254</t>
  </si>
  <si>
    <t>02705202010039</t>
  </si>
  <si>
    <t>02105201910232</t>
  </si>
  <si>
    <t>00906201610078</t>
  </si>
  <si>
    <t>Талипова Асыл Асанкадыровна</t>
  </si>
  <si>
    <t>Харкеев Жума Жусупович</t>
  </si>
  <si>
    <t>01603201810326</t>
  </si>
  <si>
    <t>МП "Водоканал Курама-суу" при айылном аймаке Курама Панфиловского района</t>
  </si>
  <si>
    <t>00902199510043</t>
  </si>
  <si>
    <t>Мадаркулова Фазия Сулаймановна</t>
  </si>
  <si>
    <t>ОсОО "Владлена"</t>
  </si>
  <si>
    <t>01408201710289</t>
  </si>
  <si>
    <t>Филиал "Инженерная гидрогеология" ГП "Кыргызгеология"</t>
  </si>
  <si>
    <t>МП "Таза Сокулук"</t>
  </si>
  <si>
    <t>01406201810495</t>
  </si>
  <si>
    <t>ОсОО "Артуну Трэйд"</t>
  </si>
  <si>
    <t>Давлеткулов Замир Соорбекович</t>
  </si>
  <si>
    <t>ОсОО "Азия Бетон"</t>
  </si>
  <si>
    <t>02310200610020</t>
  </si>
  <si>
    <t>00106198010013</t>
  </si>
  <si>
    <t>Качыкеева Махабат Талантбековна</t>
  </si>
  <si>
    <t>ОсОО "ЭрАрген"</t>
  </si>
  <si>
    <t>МП "Нарынское предприятие "Водоканал"</t>
  </si>
  <si>
    <t>02505202110118</t>
  </si>
  <si>
    <t>01511200710198</t>
  </si>
  <si>
    <t>ОсОО "МУФ КейДжи"</t>
  </si>
  <si>
    <t>ОсОО "КЕНЧ СТРОЙ"</t>
  </si>
  <si>
    <t>00712200410237</t>
  </si>
  <si>
    <t>02508200810038</t>
  </si>
  <si>
    <t>01901202110032</t>
  </si>
  <si>
    <t>02803201110150</t>
  </si>
  <si>
    <t>ОсОО "НИП"</t>
  </si>
  <si>
    <t>02808201210151</t>
  </si>
  <si>
    <t>01504197710017</t>
  </si>
  <si>
    <t>01808200810019</t>
  </si>
  <si>
    <t>02403199910168</t>
  </si>
  <si>
    <t>01710201210024</t>
  </si>
  <si>
    <t>01407201710216</t>
  </si>
  <si>
    <t>01504201510015</t>
  </si>
  <si>
    <t>01910201010100</t>
  </si>
  <si>
    <t>02205200910200</t>
  </si>
  <si>
    <t>02412201810197</t>
  </si>
  <si>
    <t>01603201810313</t>
  </si>
  <si>
    <t>01006201110209</t>
  </si>
  <si>
    <t>02710201710042</t>
  </si>
  <si>
    <t>01410201110028</t>
  </si>
  <si>
    <t>02708202010045</t>
  </si>
  <si>
    <t>00408201410102</t>
  </si>
  <si>
    <t>02712201310179</t>
  </si>
  <si>
    <t>00902201610082</t>
  </si>
  <si>
    <t>02909201610123</t>
  </si>
  <si>
    <t>00209201910214</t>
  </si>
  <si>
    <t>00703201710268</t>
  </si>
  <si>
    <t>01403201610222</t>
  </si>
  <si>
    <t>00703201810192</t>
  </si>
  <si>
    <t>01701202210200</t>
  </si>
  <si>
    <t>02409201810044</t>
  </si>
  <si>
    <t>00607200910186</t>
  </si>
  <si>
    <t>00707201010037</t>
  </si>
  <si>
    <t>03001201510126</t>
  </si>
  <si>
    <t>02002202310385</t>
  </si>
  <si>
    <t>02407202110081</t>
  </si>
  <si>
    <t>02509201310222</t>
  </si>
  <si>
    <t>00607202210305</t>
  </si>
  <si>
    <t>02202201610163</t>
  </si>
  <si>
    <t>02809200910286</t>
  </si>
  <si>
    <t>02206200710281</t>
  </si>
  <si>
    <t>03112201510012</t>
  </si>
  <si>
    <t>00501200610049</t>
  </si>
  <si>
    <t>01301199310048</t>
  </si>
  <si>
    <t>00512200810056</t>
  </si>
  <si>
    <t>00303201010040</t>
  </si>
  <si>
    <t>02707201610129</t>
  </si>
  <si>
    <t>01302201810290</t>
  </si>
  <si>
    <t>03012201610224</t>
  </si>
  <si>
    <t>01001202310062</t>
  </si>
  <si>
    <t>02002201510261</t>
  </si>
  <si>
    <t>00506201410116</t>
  </si>
  <si>
    <t>01607201510052</t>
  </si>
  <si>
    <t>02909201610204</t>
  </si>
  <si>
    <t>02707201610096</t>
  </si>
  <si>
    <t>02807202010030</t>
  </si>
  <si>
    <t>01904202310045</t>
  </si>
  <si>
    <t>01002201610239</t>
  </si>
  <si>
    <t>02107201710193</t>
  </si>
  <si>
    <t>00610202010122</t>
  </si>
  <si>
    <t>03101201710303</t>
  </si>
  <si>
    <t>00107202210151</t>
  </si>
  <si>
    <t>01411201610051</t>
  </si>
  <si>
    <t>02807201610017</t>
  </si>
  <si>
    <t>00203201610052</t>
  </si>
  <si>
    <t>02002202310644</t>
  </si>
  <si>
    <t>01412202210076</t>
  </si>
  <si>
    <t>00306202210109</t>
  </si>
  <si>
    <t>03001202310654</t>
  </si>
  <si>
    <t>02305200710377</t>
  </si>
  <si>
    <t>01708201510151</t>
  </si>
  <si>
    <t>01005201110258</t>
  </si>
  <si>
    <t>00901202310256</t>
  </si>
  <si>
    <t>00208202210118</t>
  </si>
  <si>
    <t>01508201210149</t>
  </si>
  <si>
    <t>00702202310064</t>
  </si>
  <si>
    <t>00602201810078</t>
  </si>
  <si>
    <t>02012200610110</t>
  </si>
  <si>
    <t>02708202010106</t>
  </si>
  <si>
    <t>00309201310144</t>
  </si>
  <si>
    <t>00602202310430</t>
  </si>
  <si>
    <t>00306200410141</t>
  </si>
  <si>
    <t>01312199610066</t>
  </si>
  <si>
    <t>01806201510053</t>
  </si>
  <si>
    <t>00601200510097</t>
  </si>
  <si>
    <t>00802200810089</t>
  </si>
  <si>
    <t>02108201710092</t>
  </si>
  <si>
    <t>01006201510112</t>
  </si>
  <si>
    <t>02408200110040</t>
  </si>
  <si>
    <t>00702201710207</t>
  </si>
  <si>
    <t>02508200510191</t>
  </si>
  <si>
    <t>00310202210352</t>
  </si>
  <si>
    <t>01607202010087</t>
  </si>
  <si>
    <t>00205200610107</t>
  </si>
  <si>
    <t>01602200610445</t>
  </si>
  <si>
    <t>01106200810242</t>
  </si>
  <si>
    <t>02301201010287</t>
  </si>
  <si>
    <t>02506200810245</t>
  </si>
  <si>
    <t>02402202110048</t>
  </si>
  <si>
    <t>01011202210042</t>
  </si>
  <si>
    <t>00210201210159</t>
  </si>
  <si>
    <t>02807200510048</t>
  </si>
  <si>
    <t>02502201010086</t>
  </si>
  <si>
    <t>02604202310268</t>
  </si>
  <si>
    <t>01609201510138</t>
  </si>
  <si>
    <t>01109199510073</t>
  </si>
  <si>
    <t>00606201910046</t>
  </si>
  <si>
    <t>01602201010061</t>
  </si>
  <si>
    <t>00306201310179</t>
  </si>
  <si>
    <t>01503201810259</t>
  </si>
  <si>
    <t>01312202110062</t>
  </si>
  <si>
    <t>01511200710157</t>
  </si>
  <si>
    <t>01006201310070</t>
  </si>
  <si>
    <t>03101200610186</t>
  </si>
  <si>
    <t>02109202210113</t>
  </si>
  <si>
    <t>00202200510019</t>
  </si>
  <si>
    <t>02906201110103</t>
  </si>
  <si>
    <t>00204200910010</t>
  </si>
  <si>
    <t>01703201510159</t>
  </si>
  <si>
    <t>02209202210316</t>
  </si>
  <si>
    <t>02212200510133</t>
  </si>
  <si>
    <t>03011201610013</t>
  </si>
  <si>
    <t>01812200810043</t>
  </si>
  <si>
    <t>02910201410221</t>
  </si>
  <si>
    <t>03012201610211</t>
  </si>
  <si>
    <t>01607201510078</t>
  </si>
  <si>
    <t>01201199510095</t>
  </si>
  <si>
    <t>01912200210075</t>
  </si>
  <si>
    <t>01604200910184</t>
  </si>
  <si>
    <t>02711201310291</t>
  </si>
  <si>
    <t>02506202010231</t>
  </si>
  <si>
    <t>01807200110134</t>
  </si>
  <si>
    <t>01208202210087</t>
  </si>
  <si>
    <t>02906201210203</t>
  </si>
  <si>
    <t>01311201710207</t>
  </si>
  <si>
    <t>02605201410098</t>
  </si>
  <si>
    <t>00710201110113</t>
  </si>
  <si>
    <t>01210201610103</t>
  </si>
  <si>
    <t>00212201110121</t>
  </si>
  <si>
    <t>00403202010142</t>
  </si>
  <si>
    <t>01903201210045</t>
  </si>
  <si>
    <t>03012201610189</t>
  </si>
  <si>
    <t>02202202110478</t>
  </si>
  <si>
    <t>00806200710111</t>
  </si>
  <si>
    <t>01412202210011</t>
  </si>
  <si>
    <t>01011201110266</t>
  </si>
  <si>
    <t>02904201510278</t>
  </si>
  <si>
    <t>02005202010261</t>
  </si>
  <si>
    <t>01601201410222</t>
  </si>
  <si>
    <t>03004202110091</t>
  </si>
  <si>
    <t>00810200710291</t>
  </si>
  <si>
    <t>00709201810060</t>
  </si>
  <si>
    <t>01506201010130</t>
  </si>
  <si>
    <t>01005196210022</t>
  </si>
  <si>
    <t>02802201810201</t>
  </si>
  <si>
    <t>00404200710200</t>
  </si>
  <si>
    <t>00402201510167</t>
  </si>
  <si>
    <t>02710202210181</t>
  </si>
  <si>
    <t>01404201710266</t>
  </si>
  <si>
    <t>01208201310034</t>
  </si>
  <si>
    <t>01006201910115</t>
  </si>
  <si>
    <t>00607202210183</t>
  </si>
  <si>
    <t>00204201410277</t>
  </si>
  <si>
    <t>03105201310174</t>
  </si>
  <si>
    <t>00806201110135</t>
  </si>
  <si>
    <t>01512202110348</t>
  </si>
  <si>
    <t>02210201010013</t>
  </si>
  <si>
    <t>00212201310102</t>
  </si>
  <si>
    <t>02002200310125</t>
  </si>
  <si>
    <t>01012200410214</t>
  </si>
  <si>
    <t>02209200810021</t>
  </si>
  <si>
    <t>02110201010138</t>
  </si>
  <si>
    <t>02411200410149</t>
  </si>
  <si>
    <t>02711201810236</t>
  </si>
  <si>
    <t>01606202010128</t>
  </si>
  <si>
    <t>01310200910049</t>
  </si>
  <si>
    <t>02005200910299</t>
  </si>
  <si>
    <t>01904202310058</t>
  </si>
  <si>
    <t>02909200410084</t>
  </si>
  <si>
    <t>02706201110253</t>
  </si>
  <si>
    <t>02008202010094</t>
  </si>
  <si>
    <t>02806202210175</t>
  </si>
  <si>
    <t>02801201010125</t>
  </si>
  <si>
    <t>01212200510036</t>
  </si>
  <si>
    <t>01211201510032</t>
  </si>
  <si>
    <t>00512202210296</t>
  </si>
  <si>
    <t>01405202010217</t>
  </si>
  <si>
    <t>02004201010136</t>
  </si>
  <si>
    <t>02803200710124</t>
  </si>
  <si>
    <t>03003200510156</t>
  </si>
  <si>
    <t>01412200610148</t>
  </si>
  <si>
    <t>01607200810090</t>
  </si>
  <si>
    <t>01711201710162</t>
  </si>
  <si>
    <t>00506201410185</t>
  </si>
  <si>
    <t>01410202010157</t>
  </si>
  <si>
    <t>01708201710145</t>
  </si>
  <si>
    <t>02003200810207</t>
  </si>
  <si>
    <t>02203202310104</t>
  </si>
  <si>
    <t>00909201310125</t>
  </si>
  <si>
    <t>01509202210166</t>
  </si>
  <si>
    <t>02202201710029</t>
  </si>
  <si>
    <t>01001202310047</t>
  </si>
  <si>
    <t>01306200810085</t>
  </si>
  <si>
    <t>01711201510010</t>
  </si>
  <si>
    <t>00108201110087</t>
  </si>
  <si>
    <t>01712201910278</t>
  </si>
  <si>
    <t>00802200710052</t>
  </si>
  <si>
    <t>02901201510172</t>
  </si>
  <si>
    <t>01606200810070</t>
  </si>
  <si>
    <t>02803201810247</t>
  </si>
  <si>
    <t>01302201210016</t>
  </si>
  <si>
    <t>01012200910052</t>
  </si>
  <si>
    <t>01502201810181</t>
  </si>
  <si>
    <t>01106202010165</t>
  </si>
  <si>
    <t>02102201110096</t>
  </si>
  <si>
    <t>01205201010201</t>
  </si>
  <si>
    <t>01205201510182</t>
  </si>
  <si>
    <t>01908201510157</t>
  </si>
  <si>
    <t>02106200610174</t>
  </si>
  <si>
    <t>01202201310141</t>
  </si>
  <si>
    <t>02004201010155</t>
  </si>
  <si>
    <t>02903201610113</t>
  </si>
  <si>
    <t>00610202110159</t>
  </si>
  <si>
    <t>02802202010114</t>
  </si>
  <si>
    <t>02005202210609</t>
  </si>
  <si>
    <t>01412200910142</t>
  </si>
  <si>
    <t>00604201710318</t>
  </si>
  <si>
    <t>00609200210022</t>
  </si>
  <si>
    <t>02307200910077</t>
  </si>
  <si>
    <t>01303201810302</t>
  </si>
  <si>
    <t>00606201310370</t>
  </si>
  <si>
    <t>00603200810253</t>
  </si>
  <si>
    <t>00502200310112</t>
  </si>
  <si>
    <t>02505201510332</t>
  </si>
  <si>
    <t>00509201310193</t>
  </si>
  <si>
    <t>01912201310116</t>
  </si>
  <si>
    <t>01102200910268</t>
  </si>
  <si>
    <t>03112200810063</t>
  </si>
  <si>
    <t>00903200110178</t>
  </si>
  <si>
    <t>00506201510216</t>
  </si>
  <si>
    <t>02112200610093</t>
  </si>
  <si>
    <t>02912201510359</t>
  </si>
  <si>
    <t>02203201110195</t>
  </si>
  <si>
    <t>01007201710141</t>
  </si>
  <si>
    <t>00302201710015</t>
  </si>
  <si>
    <t>00906200610055</t>
  </si>
  <si>
    <t>02004202310299</t>
  </si>
  <si>
    <t>ОсОО "Али Оил"</t>
  </si>
  <si>
    <t xml:space="preserve">Абулизи Абудурему </t>
  </si>
  <si>
    <t>ОсОО "ЛМТД Макс Групп"</t>
  </si>
  <si>
    <t>ОсОО "Макси Строй"</t>
  </si>
  <si>
    <t>ОсОО "ЭлмирЛинк"</t>
  </si>
  <si>
    <t>ОсОО "Гелион Компани"</t>
  </si>
  <si>
    <t>Каримов Арафат Юсупович</t>
  </si>
  <si>
    <t>Соромбаева Кенжегуль Нуркалиевна</t>
  </si>
  <si>
    <t>Янг Жи Минг</t>
  </si>
  <si>
    <t>Сатторов Алижон Фозилжонович</t>
  </si>
  <si>
    <t>ОсОО "Илант Групп"</t>
  </si>
  <si>
    <t xml:space="preserve">Лю Фужан </t>
  </si>
  <si>
    <t>Ян Мей Жуан</t>
  </si>
  <si>
    <t>ОсОО "КС Интер"</t>
  </si>
  <si>
    <t>ОсОО "ВИНСЕНТА"</t>
  </si>
  <si>
    <t>Султанов Нурдин Медетбекович</t>
  </si>
  <si>
    <t>Янлосан Амина Турсуновна</t>
  </si>
  <si>
    <t>Сур Керим Абдрахманович</t>
  </si>
  <si>
    <t>ОсОО "Имарат Прогресс"</t>
  </si>
  <si>
    <t xml:space="preserve">Иоу Юнг Сен </t>
  </si>
  <si>
    <t xml:space="preserve">Ю Синху </t>
  </si>
  <si>
    <t xml:space="preserve">Шен Фен Жин </t>
  </si>
  <si>
    <t>ОсОО "АЛАМЕДИН.КРГ.ТРАНС-ЛОГИСТИК"</t>
  </si>
  <si>
    <t>ОсОО "МК ЛОГИСТИКА"</t>
  </si>
  <si>
    <t>ОсОО "НМконтиненталь"</t>
  </si>
  <si>
    <t>ОсОО "Кантская Нефтебаза МО"</t>
  </si>
  <si>
    <t>ОсОО "БИЛАЛ и Ко"</t>
  </si>
  <si>
    <t>ОсОО "К.И.А. Катран"</t>
  </si>
  <si>
    <t>Юлдашев Бахтиер Хаитбаевич</t>
  </si>
  <si>
    <t>ОсОО "Алгинский АПК"</t>
  </si>
  <si>
    <t>ОсОО "Производственно-коммерческий частный хлопкоочистительный завод "ПКЧХЗ ДОМА-АТА"</t>
  </si>
  <si>
    <t>Учреждение “Кара-Алма-Урумбашский лесхоз Лесной службы при Министерстве сельского хозяйства КР”</t>
  </si>
  <si>
    <t>42311201710093</t>
  </si>
  <si>
    <t>Филиал "Таш-Кумырское предприятие теплоснабжения» ГП "Кыргызтеплоэнерго" при Министерстве энергетики КР</t>
  </si>
  <si>
    <t>ОсОО "Ак-Барс сервис"</t>
  </si>
  <si>
    <t>ОсОО "Группа Компаний Азия универсал Строй"</t>
  </si>
  <si>
    <t>Учреждение "Кара-Кульский колледж Жалал-Абадского государственного университета имени Бекмамата Осмонова"</t>
  </si>
  <si>
    <t>ОсОО "Саякат"</t>
  </si>
  <si>
    <t>ОсОО "Горно-Металлургическая Компания "Альянс"</t>
  </si>
  <si>
    <t>ОсОО "Full Gold Mining" (Фул Голд Майнинг)</t>
  </si>
  <si>
    <t>Орозов Дилмурат Мамадалиевич</t>
  </si>
  <si>
    <t>ОсОО “Бренд строй компани”</t>
  </si>
  <si>
    <t>ОсОО "ТАНС"</t>
  </si>
  <si>
    <t>ОсОО "Строй Арт ЛТД"</t>
  </si>
  <si>
    <t>ОсОО "Кыргыз ойл Групп"</t>
  </si>
  <si>
    <t>Общественное объединение "Интенсивное садоводство КЖ"</t>
  </si>
  <si>
    <t>ОсОО "СЭМ-Сервис"</t>
  </si>
  <si>
    <t>Учреждение по управлению и распоряжению национализированными объектами государственной собственности при Аппарате полномочного представителя Правительства КР в Жалал-Абадской области</t>
  </si>
  <si>
    <t>ОАО "Жалалабатская специализированная передвижная механизированная колонна"</t>
  </si>
  <si>
    <t>Коллегия адвокатов №1 г.Жалал-Абад</t>
  </si>
  <si>
    <t>ОсОО "МКС"</t>
  </si>
  <si>
    <t>00605199710058</t>
  </si>
  <si>
    <t>Учреждение "Жилищно-Эксплуатационное учреждение №3"</t>
  </si>
  <si>
    <t xml:space="preserve">Султанбек уулу Азамат </t>
  </si>
  <si>
    <t>Ниязбеков Айтбек Куанычбекович</t>
  </si>
  <si>
    <t>Азимбаев Нурлан Абылкайырович</t>
  </si>
  <si>
    <t xml:space="preserve">Маймакский филиал ОсОО "Vertex Gold Company" (Вертекс Голд Компани) </t>
  </si>
  <si>
    <t>Солтонбеков Максат Мухамбетович</t>
  </si>
  <si>
    <t>ОсОО "Айдос-Кут"</t>
  </si>
  <si>
    <t>ОсОО "Спортивно-оздоровительный комплекс "Байкол"</t>
  </si>
  <si>
    <t>МП "Управление муниципальной собственности города Талас"</t>
  </si>
  <si>
    <t>Учреждение "Таласское региональное управление по градостроительству и архитектуре Государственного агентства архитектуры, строительства и жилищно-коммунального хозяйства при Кабинете Министров КР"</t>
  </si>
  <si>
    <t>ОсОО "Ягуар-ДКК"</t>
  </si>
  <si>
    <t>ОсОО "Фуд Дрим"</t>
  </si>
  <si>
    <t>ОсОО "Ферручи"</t>
  </si>
  <si>
    <t>Иксолла (США), Инк.</t>
  </si>
  <si>
    <t>ОсОО "ТАШБЕРМЕТ"</t>
  </si>
  <si>
    <t>ОсОО "Сары-Таш+Стальконструкция"</t>
  </si>
  <si>
    <t>Назаров Валихон Абдуманнапович</t>
  </si>
  <si>
    <t>ОсОО "Табылгы"</t>
  </si>
  <si>
    <t>ОсОО "Кыргыз-Травертин"</t>
  </si>
  <si>
    <t xml:space="preserve">Курбанова Рахимахон </t>
  </si>
  <si>
    <t>Балтабаев Аброр Акбарович</t>
  </si>
  <si>
    <t>ОсОО "Логистическая компания "ЭКО азык"</t>
  </si>
  <si>
    <t>Сельскохозяйственный кооператив "К.Датка"</t>
  </si>
  <si>
    <t>ОсОО "Сапат Прогресс"</t>
  </si>
  <si>
    <t>ОсОО «Датка-Азык»</t>
  </si>
  <si>
    <t>ОсОО "Тез-Фрукты"</t>
  </si>
  <si>
    <t>ОсОО "Бору Ком"</t>
  </si>
  <si>
    <t>ОсОО "Нур-Бол ЛТД"</t>
  </si>
  <si>
    <t>ОсОО "РИЖОЛЛАР"</t>
  </si>
  <si>
    <t>ОсОО "Уз-Кж ААА"</t>
  </si>
  <si>
    <t>ОсОО "ТСМ-Альфа"</t>
  </si>
  <si>
    <t>ОсОО "Замир-Мир-Нур"</t>
  </si>
  <si>
    <t>Жуматаев Аскар Кубанычбекович</t>
  </si>
  <si>
    <t>ОсОО "Евро Дом-Юг ЛТД"</t>
  </si>
  <si>
    <t>ОсОО "Асман-Профи"</t>
  </si>
  <si>
    <t>ОсОО "Империя Кахаровы"</t>
  </si>
  <si>
    <t>ОсОО "Усен-Аман"</t>
  </si>
  <si>
    <t>ОсОО "Хао Инчи"</t>
  </si>
  <si>
    <t>ОсОО "Ново-Строй"</t>
  </si>
  <si>
    <t>ОсОО "СТ-АГАФОН"</t>
  </si>
  <si>
    <t>ОсОО "Строй инвест Ком"</t>
  </si>
  <si>
    <t>ОсОО "Тунгус-строй"</t>
  </si>
  <si>
    <t>ОсОО "Нефрит ЛТД"</t>
  </si>
  <si>
    <t>ОсОО "Профи-Строй"</t>
  </si>
  <si>
    <t>ОсОО "Модерн-Сервис"</t>
  </si>
  <si>
    <t xml:space="preserve">Калматов Алмазбек </t>
  </si>
  <si>
    <t>ОсОО "СТИМА-Универсал"</t>
  </si>
  <si>
    <t>ОсОО "ЭКСЕЛЕНТ РОУД"</t>
  </si>
  <si>
    <t>ОсОО "Сакура Холдинг"</t>
  </si>
  <si>
    <t>ОсОО "Кыргызский соколиный центр "Мурас""</t>
  </si>
  <si>
    <t>Учреждение "Детский оздоровительный центр "Улан" Федерация профсоюзов Кыргызстана</t>
  </si>
  <si>
    <t>ОсОО "Orient Group" (Ориент Груп)</t>
  </si>
  <si>
    <t>Учреждение "Дом отдыха "Чолпон-Ата" Федерации профсоюзов Кыргызстана"</t>
  </si>
  <si>
    <t>40206201710096</t>
  </si>
  <si>
    <t>01208195710012</t>
  </si>
  <si>
    <t>01505196210013</t>
  </si>
  <si>
    <t>ОсОО "Строительная фирма Экспресс строй"</t>
  </si>
  <si>
    <t>02303200610382</t>
  </si>
  <si>
    <t>03011201810356</t>
  </si>
  <si>
    <t>Учреждение "Отдел чрезвычайных ситуаций Тонского района Управления МЧС КР по Иссык-Кульской области"</t>
  </si>
  <si>
    <t>03105201710149</t>
  </si>
  <si>
    <t>02211201810128</t>
  </si>
  <si>
    <t>02510200410086</t>
  </si>
  <si>
    <t>00411200410117</t>
  </si>
  <si>
    <t>00510200410013</t>
  </si>
  <si>
    <t>41109202010121</t>
  </si>
  <si>
    <t>00112200410202</t>
  </si>
  <si>
    <t>01910200410085</t>
  </si>
  <si>
    <t>Детское дошкольное образовательное учреждение "Арча"</t>
  </si>
  <si>
    <t>Войсковая часть №87366</t>
  </si>
  <si>
    <t>Учреждение "Детское дошкольное образовательное учреждение "Детский сад "Бал-Таттуу"</t>
  </si>
  <si>
    <t>ОсОО "Ай Джи Эм Групп"</t>
  </si>
  <si>
    <t>ОсОО "САТ - транс"</t>
  </si>
  <si>
    <t>ОсОО "Балыкчы Транс"</t>
  </si>
  <si>
    <t>ОсОО "ВГК"</t>
  </si>
  <si>
    <t>ОсОО "ПрофСтройСервис"</t>
  </si>
  <si>
    <t>ОсОО "ФэмиКола"</t>
  </si>
  <si>
    <t>ОсОО "Металломир"</t>
  </si>
  <si>
    <t>ОсОО "Айсер Торг"</t>
  </si>
  <si>
    <t>ОсОО "Лотос Групп"</t>
  </si>
  <si>
    <t>ОсОО "ГРИН ЛАЙФ ДЭН"</t>
  </si>
  <si>
    <t>ОсОО "КыргызДаймонд"</t>
  </si>
  <si>
    <t>Кызтек Татьяна Вячеславовна</t>
  </si>
  <si>
    <t>Исмаилов Ариэт Алтынбекович</t>
  </si>
  <si>
    <t>ОсОО "Роял Групп"</t>
  </si>
  <si>
    <t>ОсОО "Аманат Капитал"</t>
  </si>
  <si>
    <t>ОсОО "Строительная компания "Эко Строй Групп"</t>
  </si>
  <si>
    <t>ОсОО "ИС Технолоджи"</t>
  </si>
  <si>
    <t>Филиал "Центр отдыха "Золотые пески" ГП "Дирекция по управлению объектами" при Фонде по управлению государственным имуществом при Министерстве экономики и коммерции КР</t>
  </si>
  <si>
    <t>ОсОО "Снаб-Трейд"</t>
  </si>
  <si>
    <t>ОсОО "Спектрум Петролеум"</t>
  </si>
  <si>
    <t>Жаманкулова Людмила Кемелбековна</t>
  </si>
  <si>
    <t>ОсОО "Абдан Курулуш"</t>
  </si>
  <si>
    <t>Алматова Галина Анатольевна</t>
  </si>
  <si>
    <t>Турабаева Назира Турабаевна</t>
  </si>
  <si>
    <t>ОсОО "Премиум Электро Комфорт"</t>
  </si>
  <si>
    <t>Исаматов Эркин Джаныбекович</t>
  </si>
  <si>
    <t>ОсОО "Ланит Компани"</t>
  </si>
  <si>
    <t>Ахметов Адилет Асхатович</t>
  </si>
  <si>
    <t>Данилов Эрик Данилович</t>
  </si>
  <si>
    <t>ОсОО "МОДАТЕКС"</t>
  </si>
  <si>
    <t>ОсОО "АЗИЯ-ПРОЕКТ-СЕЙСМО"</t>
  </si>
  <si>
    <t>ОсОО "ПКР ТРЕЙДИНГ"</t>
  </si>
  <si>
    <t>ОсОО "Профкомплект"</t>
  </si>
  <si>
    <t>Алметакунов Джапаркул Исаевич</t>
  </si>
  <si>
    <t>ОсОО "Миссони"</t>
  </si>
  <si>
    <t>ОсОО "Белес.KG" (Белес.КейЖи)</t>
  </si>
  <si>
    <t xml:space="preserve">Умурзак уулу Акжол </t>
  </si>
  <si>
    <t>ОсОО "ЮРФА Клиник"</t>
  </si>
  <si>
    <t>ОсОО "КЖ Инвест Компани"</t>
  </si>
  <si>
    <t>ОсОО "ААТ"</t>
  </si>
  <si>
    <t>ОсОО "ДДЖ Трейд"</t>
  </si>
  <si>
    <t>ОсОО "Элхан Групп"</t>
  </si>
  <si>
    <t>ОсОО "ЛК Трейд"</t>
  </si>
  <si>
    <t>ОсОО "Топ Сто"</t>
  </si>
  <si>
    <t>ОсОО "Sound KG"</t>
  </si>
  <si>
    <t>ОсОО "ЗБР ГОЛД"</t>
  </si>
  <si>
    <t>ОсОО "Капитал Консалт Компани"</t>
  </si>
  <si>
    <t>ОсОО "Виндом"</t>
  </si>
  <si>
    <t>ОсОО "Медфармпротекс"</t>
  </si>
  <si>
    <t>ОсОО "Окен Курулуш Сервис"</t>
  </si>
  <si>
    <t>ОсОО "Бек-Кубат"</t>
  </si>
  <si>
    <t>ОсОО "Меридиан Констракшн"</t>
  </si>
  <si>
    <t>ОсОО "Би Форс"</t>
  </si>
  <si>
    <t>ОсОО "Вавилон плюс"</t>
  </si>
  <si>
    <t>Батырбаев Бектур Тариэльбекович</t>
  </si>
  <si>
    <t>ОсОО "ЛюксБизнесГрупп"</t>
  </si>
  <si>
    <t>ОсОО "Кей компани"</t>
  </si>
  <si>
    <t>ОсОО "Адео компани"</t>
  </si>
  <si>
    <t>ОсОО "Чайна Миньсинь Ко.ЛТД"</t>
  </si>
  <si>
    <t>ОсОО "ШЕРА-Транс"</t>
  </si>
  <si>
    <t>ОсОО "НАСА Курулуш"</t>
  </si>
  <si>
    <t>Абдурахманова Ширин Абдушамаевна</t>
  </si>
  <si>
    <t>ОсОО «САМВИНТРЕСТ»</t>
  </si>
  <si>
    <t>01807200110223</t>
  </si>
  <si>
    <t>Учреждение № 14 Службы исполнения наказаний при Министерстве юстиции КР</t>
  </si>
  <si>
    <t>Войсковая часть №45682</t>
  </si>
  <si>
    <t>ОсОО "MANAS HANDLING" (Манас Хендлинг)</t>
  </si>
  <si>
    <t>Филиал "Орловское предприятие тепловодоснабжение" ГП "Кыргызтеплоэнерго"</t>
  </si>
  <si>
    <t>ОсОО "Лаки Трейдинг Ко.ЛТД."</t>
  </si>
  <si>
    <t>Санаторий "Кыргызстан"</t>
  </si>
  <si>
    <t>ОсОО "КГС"</t>
  </si>
  <si>
    <t>ОсОО "Многопрофильное производственное предприятие "КОЛОРИТ"</t>
  </si>
  <si>
    <t>ЗАО "Ала-Арчинская Передвижная Механизированная Колонна"</t>
  </si>
  <si>
    <t>ОсОО "Интервеста Текстайл"</t>
  </si>
  <si>
    <t>ЗАО "Фирма "ВЕСТА"</t>
  </si>
  <si>
    <t>ОсОО «Apus» (Апус)</t>
  </si>
  <si>
    <t>01305199610127</t>
  </si>
  <si>
    <t>02104201510105</t>
  </si>
  <si>
    <t>ОсОО "Вано"</t>
  </si>
  <si>
    <t>ГП "Передвижная механизированная колонна" Службы исполнения наказаний при Министерстве юстиции КР"</t>
  </si>
  <si>
    <t>Филиал ОАО "Национальная электрическая сеть Кыргызстана"-Учебный центр</t>
  </si>
  <si>
    <t>Учреждение "Аламудунский районный отдел статистики Чуйского областного управления статистики Национального статистического комитета КР"</t>
  </si>
  <si>
    <t>Жапаев Мирбек Жумаалыевич</t>
  </si>
  <si>
    <t>ОсОО "Керамика Кызыл-Туу"</t>
  </si>
  <si>
    <t>01110200110048</t>
  </si>
  <si>
    <t>01904202110237</t>
  </si>
  <si>
    <t>Учреждение "Центр общеврачебной практики Сокулукского района Чуйской области"</t>
  </si>
  <si>
    <t>ОсОО "Агро Лайт"</t>
  </si>
  <si>
    <t>Учреждение "Московское районное управление труда,социального обеспечения и миграции Министерства труда, социального обеспечения и миграции КР"</t>
  </si>
  <si>
    <t>Абдукаимова Сайракан Абдукаимовна</t>
  </si>
  <si>
    <t>ОсОО "ОДЕКС"</t>
  </si>
  <si>
    <t>Аксакалов  Азамат  Ашымбекович</t>
  </si>
  <si>
    <t>ОАО "АРЗ"</t>
  </si>
  <si>
    <t>Сталбеков Марслан Сталбекович</t>
  </si>
  <si>
    <t>«Объединение пастбищепользователе» Сары-Булакского аильного округа Жайылского района Чуйской области</t>
  </si>
  <si>
    <t>МП "Кара-Балтинский водоканал" при мэрии города Кара-Балта</t>
  </si>
  <si>
    <t>ГП "Кара-Балтинский спиртовый завод"</t>
  </si>
  <si>
    <t>Список плательщиков, имеющих крупную задолженность по налогам и страховым взносам, 
по состоянию на 1 марта 2024 года</t>
  </si>
  <si>
    <t>02504201310270</t>
  </si>
  <si>
    <t>ОсОО "Кор Дриллинг Интернэшнл Лимитед"</t>
  </si>
  <si>
    <t>Филиал "Предприятие жизнеобеспечения поселка городского типа Мин-Куш" ГП Кыргызтеплоэнергия"</t>
  </si>
  <si>
    <t>ЗАО "Шарбон"</t>
  </si>
  <si>
    <t>02403202310344</t>
  </si>
  <si>
    <t>ОсОО Кумбель ЛТД</t>
  </si>
  <si>
    <t>ОсОО "Эко Фрукт Трейд"</t>
  </si>
  <si>
    <t>02110199610050</t>
  </si>
  <si>
    <t>ГП "Государственный племенной завод "Тянь-Шаньский"</t>
  </si>
  <si>
    <t>00104202210104</t>
  </si>
  <si>
    <t>ОсОО "Ааламга жол"</t>
  </si>
  <si>
    <t>ОсОО "Финанс-Секъюрити"</t>
  </si>
  <si>
    <t>ОсОО "Караван Транс Групп"</t>
  </si>
  <si>
    <t>02612199710023</t>
  </si>
  <si>
    <t>Нарынское областное управление Судебного департамента при Верховном суде КР</t>
  </si>
  <si>
    <t>02609200710228</t>
  </si>
  <si>
    <t>01903201810365</t>
  </si>
  <si>
    <t>02410202210114</t>
  </si>
  <si>
    <t>01105202210080</t>
  </si>
  <si>
    <t>00809202310438</t>
  </si>
  <si>
    <t>00611199210065</t>
  </si>
  <si>
    <t>00702202210410</t>
  </si>
  <si>
    <t>01603200910355</t>
  </si>
  <si>
    <t>03008202210393</t>
  </si>
  <si>
    <t>00409202310027</t>
  </si>
  <si>
    <t>00312202110060</t>
  </si>
  <si>
    <t>01204201010029</t>
  </si>
  <si>
    <t>ОсОО "ТД Азия Трейдинг"</t>
  </si>
  <si>
    <t>ОсОО "ОСФ"</t>
  </si>
  <si>
    <t>ОсОО "КАБАснабстрой"</t>
  </si>
  <si>
    <t>Зикиров Бакыт Сулайманович</t>
  </si>
  <si>
    <t>ОсОО "Унипрофит"</t>
  </si>
  <si>
    <t>ТсОО "SPAIS FOOD"</t>
  </si>
  <si>
    <t>ОсОО "Роял Трейд Логистик"</t>
  </si>
  <si>
    <t>ОсОО "РСПлюс"</t>
  </si>
  <si>
    <t>Бакаев Бактыбек Насыркулович</t>
  </si>
  <si>
    <t>ОсОО "ТемирБолот КГ"</t>
  </si>
  <si>
    <t>ОсОО "Стандарт Бетон"</t>
  </si>
  <si>
    <t>ОсОО "Ворлд-Вайд фудс"</t>
  </si>
  <si>
    <t>ОсОО "Тез-экс Логистик"</t>
  </si>
  <si>
    <t xml:space="preserve">Чжен Жинлон </t>
  </si>
  <si>
    <t>ОсОО "БелКаZ" (БелКаз)</t>
  </si>
  <si>
    <t>ОсОО "Гранд Дизайн"</t>
  </si>
  <si>
    <t>ОсОО "Тирада"</t>
  </si>
  <si>
    <t>ОсОО "Промышленная компания "Спектр"</t>
  </si>
  <si>
    <t>ОсОО "Техноткань"</t>
  </si>
  <si>
    <t>Садирбек уулу Шерзат</t>
  </si>
  <si>
    <t>ОсОО "Бишкек Металл Холдинг"</t>
  </si>
  <si>
    <t>ОсОО "Производственная компания "Альянс"</t>
  </si>
  <si>
    <t>ОсОО "Строительная компания "Строй Универсал Групп"</t>
  </si>
  <si>
    <t>ОсОО "ЗОО-СЕРВИС"</t>
  </si>
  <si>
    <t>ОсОО "Тактика"</t>
  </si>
  <si>
    <t xml:space="preserve">Имамоглу Турсунжан  </t>
  </si>
  <si>
    <t>ОсОО "Ferro Alloys"</t>
  </si>
  <si>
    <t>ОсОО "AK &amp; Co" (АК энд Ко)</t>
  </si>
  <si>
    <t>ОсОО "МЕГА БИЗНЕС"</t>
  </si>
  <si>
    <t>ОсОО "АГИС-ТЕМИР"</t>
  </si>
  <si>
    <t>ОсОО "АЛТО"</t>
  </si>
  <si>
    <t>ОсОО "Auriga" (Аурига)</t>
  </si>
  <si>
    <t>Общественное объединение "ИнфоКут"</t>
  </si>
  <si>
    <t>ОсОО "Бишкекавтоматика"</t>
  </si>
  <si>
    <t>ОсОО "ТОПФОРМ.КЕЙ ДЖИ"</t>
  </si>
  <si>
    <t>МП "Бишкекское предприятие банно-прачечных комплексов мэрии города Бишкек"</t>
  </si>
  <si>
    <t>ОсОО "Дом Российских Дверей"</t>
  </si>
  <si>
    <t>ОсОО "Велета"</t>
  </si>
  <si>
    <t>ОсОО "Офсет"</t>
  </si>
  <si>
    <t>ЗАО "БиЭмДжи Интернешнл"</t>
  </si>
  <si>
    <t>Учреждение "Туркомплекс "Бишкек-турбазасы" Федерации профсоюзов Кыргызстана</t>
  </si>
  <si>
    <t>ОсОО "Беш Бадам kg" (Беш Бадам кей джи)</t>
  </si>
  <si>
    <t>ОсОО "Кыргыз-Транс-Лизинг"</t>
  </si>
  <si>
    <t>ОсОО "Кыргызская Нефтяная Компания"</t>
  </si>
  <si>
    <t>ОсОО "Эртэкс"</t>
  </si>
  <si>
    <t>ОсОО "Энергоавтоматика"</t>
  </si>
  <si>
    <t>ОсОО "Корпорация Стройресурс"</t>
  </si>
  <si>
    <t>ОсОО 	"ВСП-Билдинг"</t>
  </si>
  <si>
    <t>Учреждение «Свердловский районный военный комиссариат города Бишкек»</t>
  </si>
  <si>
    <t>ОсОО "Гигиена Мед Бишкек"</t>
  </si>
  <si>
    <t>ОсОО "EURO HOUSE" (ЕВРО ХАУС)</t>
  </si>
  <si>
    <t>ОсОО "Еврофасад"</t>
  </si>
  <si>
    <t>ОсОО "Энерджи Ойл"</t>
  </si>
  <si>
    <t>ОсОО "Кубат-Строй Сервис"</t>
  </si>
  <si>
    <t>ОсОО 	"БОРЗ"</t>
  </si>
  <si>
    <t>ОсОО "Восток импэкс"</t>
  </si>
  <si>
    <t>ОсОО "ФОРТА"</t>
  </si>
  <si>
    <t>ОсОО "Daysee"</t>
  </si>
  <si>
    <t>Коммерческий кооператив "Товарно-сервисный кооператив Б.Р.Р Жол Агросервис"</t>
  </si>
  <si>
    <t>Филиал ОсОО "Партнер" в КР</t>
  </si>
  <si>
    <t>ОсОО "Элит Электро"</t>
  </si>
  <si>
    <t>ОсОО "С Азия"</t>
  </si>
  <si>
    <t>ОсОО "DOMAT"</t>
  </si>
  <si>
    <t>ОсОО "Skyline ltd" (Скайлайн лтд)</t>
  </si>
  <si>
    <t>ОсОО "Grand PRO" (Гранд ПРО)</t>
  </si>
  <si>
    <t>ОсОО "Торговый Дом "КЕЗАР ТЕКС"</t>
  </si>
  <si>
    <t>02607199510054</t>
  </si>
  <si>
    <t>42504200710165</t>
  </si>
  <si>
    <t>01308201410137</t>
  </si>
  <si>
    <t>02305200710247</t>
  </si>
  <si>
    <t>00812199710168</t>
  </si>
  <si>
    <t>01010201310153</t>
  </si>
  <si>
    <t>00811201610295</t>
  </si>
  <si>
    <t>Учреждение "Кыргызский горно-энерготехнологический колледж"</t>
  </si>
  <si>
    <t>Учреждение "Специальная общеобразовательная школа-интернат для слабослышащих и позднооглохших детей"</t>
  </si>
  <si>
    <t>ОАО "Битекс компани"</t>
  </si>
  <si>
    <t>ОсОО "Софит Строй"</t>
  </si>
  <si>
    <t>Филиал ОАО "Нарын Спецгидроэнерго Монтаж- Север СГЭМ"</t>
  </si>
  <si>
    <t>Объединение юридических лиц "Ассоциация "American Chamber of Commerce" (Американ Чэмбэ оф Коммерц)</t>
  </si>
  <si>
    <t>Учреждение "Республиканский институт повышения квалификации и переподготовки педогогических работников при Министерстве образования и науки КР"</t>
  </si>
  <si>
    <t>01211200310039</t>
  </si>
  <si>
    <t>02702200610116</t>
  </si>
  <si>
    <t>00110199710083</t>
  </si>
  <si>
    <t>02504201610262</t>
  </si>
  <si>
    <t>02502202210051</t>
  </si>
  <si>
    <t>02904200510051</t>
  </si>
  <si>
    <t>02411200510086</t>
  </si>
  <si>
    <t>02602201410038</t>
  </si>
  <si>
    <t>02405200710018</t>
  </si>
  <si>
    <t>00507200710057</t>
  </si>
  <si>
    <t>01101201810290</t>
  </si>
  <si>
    <t>02809201010017</t>
  </si>
  <si>
    <t>01812201810305</t>
  </si>
  <si>
    <t>02805200410068</t>
  </si>
  <si>
    <t>02903201610024</t>
  </si>
  <si>
    <t>00809200510017</t>
  </si>
  <si>
    <t>01005201610068</t>
  </si>
  <si>
    <t>02609201610023</t>
  </si>
  <si>
    <t>01709201810209</t>
  </si>
  <si>
    <t>ОсОО "Аяз-Трейд"</t>
  </si>
  <si>
    <t>Таласский районный филиал ГП "Кыргыз почтасы"</t>
  </si>
  <si>
    <t>Восточное территориальное общественное самоуправление №3 г.Талас</t>
  </si>
  <si>
    <t>02311201610048</t>
  </si>
  <si>
    <t>00502202010064</t>
  </si>
  <si>
    <t>02101202210255</t>
  </si>
  <si>
    <t>01911201910021</t>
  </si>
  <si>
    <t>00511199610052</t>
  </si>
  <si>
    <t>Учреждение "Кайындиский айыл окмоту" Кайындинского айыльного аймака Манасского района Таласской области</t>
  </si>
  <si>
    <t>00502201810206</t>
  </si>
  <si>
    <t>ОсОО "СК "АДИС"</t>
  </si>
  <si>
    <t>01409202010065</t>
  </si>
  <si>
    <t>02303201810052</t>
  </si>
  <si>
    <t>01604202110101</t>
  </si>
  <si>
    <t>Учреждение «Межрайонный Айтматовский центр профилактики заболеваний и государственного санитарно- эпидемиологического надзора»</t>
  </si>
  <si>
    <t>00406201510091</t>
  </si>
  <si>
    <t>02709199510028</t>
  </si>
  <si>
    <t>Филиал АО "ЧАКЫР ЯПЫ САНАЙИ ВЕ ТИЖАРЕТ в КР"</t>
  </si>
  <si>
    <t>Учреждение "Таласская специальная общеобразовательная (вспомогательная) школа-интернат"</t>
  </si>
  <si>
    <t>Атамбеков Советбек Барыктабасович</t>
  </si>
  <si>
    <t>01309200710093</t>
  </si>
  <si>
    <t>ОсОО "Бизнес Инвест Компани"</t>
  </si>
  <si>
    <t>ОсОО "Хюндай Элевэйторс"</t>
  </si>
  <si>
    <t>ОсОО "Курулуш-Сервис"</t>
  </si>
  <si>
    <t>ОсОО "Протекс карго"</t>
  </si>
  <si>
    <t>Муниципальное совместное предприятие "Агентство развития Тонского района"</t>
  </si>
  <si>
    <t>Редакция газеты "Эмгекчил"</t>
  </si>
  <si>
    <t>Мукашева Нагима Жазитхановна</t>
  </si>
  <si>
    <t>Нургазиев Эрмек Белекович</t>
  </si>
  <si>
    <t>Турдалиев Сталбек Шаршебаевич</t>
  </si>
  <si>
    <t>Серекова Гульмира Качкыновна</t>
  </si>
  <si>
    <t>ОсОО "Эл Салам"</t>
  </si>
  <si>
    <t>Учреждение "Начальная школа "БИРИНЧИ МУГАЛИМ"</t>
  </si>
  <si>
    <t>ОсОО "ТК Акташ"</t>
  </si>
  <si>
    <t>ОсОО "Курменты Транс Сервис"</t>
  </si>
  <si>
    <t>00102195010026</t>
  </si>
  <si>
    <t>01110200410014</t>
  </si>
  <si>
    <t>02712200410154</t>
  </si>
  <si>
    <t>00809200410090</t>
  </si>
  <si>
    <t>02104200410296</t>
  </si>
  <si>
    <t>02211200410115</t>
  </si>
  <si>
    <t>02210200410034</t>
  </si>
  <si>
    <t>00411200410250</t>
  </si>
  <si>
    <t>02212200410176</t>
  </si>
  <si>
    <t>00104200310021</t>
  </si>
  <si>
    <t>00903201010212</t>
  </si>
  <si>
    <t>02010200410220</t>
  </si>
  <si>
    <t>01310200410018</t>
  </si>
  <si>
    <t>00908200410099</t>
  </si>
  <si>
    <t>01412200410176</t>
  </si>
  <si>
    <t>01011200410352</t>
  </si>
  <si>
    <t>01910200410118</t>
  </si>
  <si>
    <t>01003200410011</t>
  </si>
  <si>
    <t>Средняя общеобразовательная школа села Тосор</t>
  </si>
  <si>
    <t>Средняя общеобразовательная школа села Тилекмат им. академика А. Алтмышбаева</t>
  </si>
  <si>
    <t>Средняя общобразовательная школа им. Д. Иманова</t>
  </si>
  <si>
    <t>Средняя общеобразовательная школа им.Э. Кендирбаева</t>
  </si>
  <si>
    <t>Средняя общеобразовательная школа им. С. Абдрахманова</t>
  </si>
  <si>
    <t>Средняя общеобразовательная школа им. К. Эсенкожоева</t>
  </si>
  <si>
    <t>Средняя общеобразовательная школа им. В. Ленина</t>
  </si>
  <si>
    <t>Средняя общеобразовательная школа  им. Жунуш уулу Жапар</t>
  </si>
  <si>
    <t>Средняя общеобразовательная школа им. К. Саалиева</t>
  </si>
  <si>
    <t>Средняя общеобразовательная школа им. Э. Гапарова</t>
  </si>
  <si>
    <t>Средняя общеобразовательная школа им. А. Алыбакова</t>
  </si>
  <si>
    <t>Средняя общеобразовательная школа "Тамга"</t>
  </si>
  <si>
    <t>Средняя общеобразовательная школа им.Т. Мурзабекова</t>
  </si>
  <si>
    <t>Средняя общеобразовательная школа им. Ы. Сооронбаева</t>
  </si>
  <si>
    <t>Средняя общеобразовательная школа им. Ю. Хазрета</t>
  </si>
  <si>
    <t>Средняя общеобразовательная школа им. С. Давлетова</t>
  </si>
  <si>
    <t>Общеобразовательная организация им. С. Сыдыкова</t>
  </si>
  <si>
    <t>Средняя общеобразовательная школа им. А. Курманбекова</t>
  </si>
  <si>
    <t>Сельское общественное объединение потребителей питьевой воды "Тунук"</t>
  </si>
  <si>
    <t>МП "Кызыл-Суу тазалык"</t>
  </si>
  <si>
    <t>Средняя общеобразовательная школа  им. Б. Укуева</t>
  </si>
  <si>
    <t>Ср.общеобразовательная школа Оргочор им. М. Тынаева</t>
  </si>
  <si>
    <t>Средняя общеобразовательная школа им. А. Сатылганова</t>
  </si>
  <si>
    <t>ОсОО "PR Promo Group" (ПиАр Промо Групп)</t>
  </si>
  <si>
    <t>ОсОО "ШерАд Лтд"</t>
  </si>
  <si>
    <t>Алакова Нуржамал Асырбековна</t>
  </si>
  <si>
    <t>Тологонов Эдил Байболотович</t>
  </si>
  <si>
    <t>ОсОО "РеМа-Карго"</t>
  </si>
  <si>
    <t>01207199310027</t>
  </si>
  <si>
    <t>ОсОО "Дили"</t>
  </si>
  <si>
    <t>Алимкул уулу Анарбек</t>
  </si>
  <si>
    <t>Образовательное учреждение Каракольский женский учебно-воспитательный комплекс "Кут билим"</t>
  </si>
  <si>
    <t>02101197210013</t>
  </si>
  <si>
    <t>Учреждение "Дирекция по управлению Фондом развития Иссык-Кульской области"</t>
  </si>
  <si>
    <t>Турсунбаева Алтынай Саттаровна</t>
  </si>
  <si>
    <t>ОсОО "Райт Сервис"</t>
  </si>
  <si>
    <t>Асаналиев Азизбек Дуйшенбекович</t>
  </si>
  <si>
    <t>ОсОО "Бай Дивес"</t>
  </si>
  <si>
    <t>ОсОО "Итальянский квартал"</t>
  </si>
  <si>
    <t>Исмаилова Мунира Усенжановна</t>
  </si>
  <si>
    <t>Марсбекова Айбера Марсбековна</t>
  </si>
  <si>
    <t>Жаманкулова Рита Алымжановна</t>
  </si>
  <si>
    <t>ОсОО "УТК"</t>
  </si>
  <si>
    <t>ОсОО "Наш Ай Ти"</t>
  </si>
  <si>
    <t>ОсОО "Тескей"</t>
  </si>
  <si>
    <t>ОсОО "Рей Билдинг"</t>
  </si>
  <si>
    <t>ОсОО "Панорамные окна"</t>
  </si>
  <si>
    <t xml:space="preserve">Биримкулов Сейиткасым </t>
  </si>
  <si>
    <t>ОсОО "Ормет-Альянс"</t>
  </si>
  <si>
    <t>ОсОО "Гарант Ордо"</t>
  </si>
  <si>
    <t>ОсОО "Sweet line" (Свит лайн)</t>
  </si>
  <si>
    <t>Сагындыков Бактыбек Чолукович</t>
  </si>
  <si>
    <t>ОсОО "РАНАТ"</t>
  </si>
  <si>
    <t>ОсОО "Газобетон Строй"</t>
  </si>
  <si>
    <t>ОсОО "Алтын Кумара"</t>
  </si>
  <si>
    <t xml:space="preserve">Райимкулова Айсалкын </t>
  </si>
  <si>
    <t>ОсОО "ALPA"</t>
  </si>
  <si>
    <t>ОсОО "SIROСA Systems" (Сирока Системс)</t>
  </si>
  <si>
    <t>ОсОО «Bii-Invest» (Бий-Инвест)</t>
  </si>
  <si>
    <t>ОсОО "Крафт"</t>
  </si>
  <si>
    <t>ОсОО "Совместное Кыргызско-Малайзийское предприятие отель "Ак-Кеме"</t>
  </si>
  <si>
    <t>ОсОО "Торговый Дом "Аметлер"</t>
  </si>
  <si>
    <t>ОсОО "Агромаш Экспорт"</t>
  </si>
  <si>
    <t>ОсОО "Аз-Барс"</t>
  </si>
  <si>
    <t>ОсОО "Алилнур"</t>
  </si>
  <si>
    <t>ОсОО "Domian"</t>
  </si>
  <si>
    <t>ОсОО "IT" (Айти)</t>
  </si>
  <si>
    <t>ОсОО "Жилищно-коммунальное хозяйство "Коммунальщик-сервис"</t>
  </si>
  <si>
    <t>ОсОО "Aksakur"</t>
  </si>
  <si>
    <t>ОсОО "Компания "M-Tec Oil" (М-Тек Ойл)</t>
  </si>
  <si>
    <t>ОсОО "Капитоль"</t>
  </si>
  <si>
    <t>ОсОО "Фабэр-Сервис"</t>
  </si>
  <si>
    <t>ОсОО "Гальпини"</t>
  </si>
  <si>
    <t>Бишкекский филиал ОсОО "Партнер Электрооборудование"</t>
  </si>
  <si>
    <t>ОсОО "Залкар ТРАНС НК"</t>
  </si>
  <si>
    <t>ОсОО "Гринвич"</t>
  </si>
  <si>
    <t>ОсОО "Манали"</t>
  </si>
  <si>
    <t>ОсОО "KiRi" (КиРи)</t>
  </si>
  <si>
    <t>ОсОО "Юрстар"</t>
  </si>
  <si>
    <t>Бишкекский филиал ОсОО "Строительная фирма "Спецпромкровля"</t>
  </si>
  <si>
    <t>Общественный фонд "Евразия Знание и Культура"</t>
  </si>
  <si>
    <t>ОсОО 	"Мыдыр-Жол"</t>
  </si>
  <si>
    <t>ОсОО "Строймир"</t>
  </si>
  <si>
    <t>ОсОО "ЭМАГНА"</t>
  </si>
  <si>
    <t>Евдокимова Наталья Серьяновна</t>
  </si>
  <si>
    <t>ОсОО "ЭЛАР"</t>
  </si>
  <si>
    <t>ОсОО "Nuras-Tur"</t>
  </si>
  <si>
    <t>ОсОО "АЗМ-Строй"</t>
  </si>
  <si>
    <t>ОсОО "Кедар"</t>
  </si>
  <si>
    <t>ОсОО "Treasure Sky LTD"</t>
  </si>
  <si>
    <t>ОсОО "Кыргызско-китайская зона свободной торговли "Ат-Башы"</t>
  </si>
  <si>
    <t>ОсОО "Стройтехмонтаж"</t>
  </si>
  <si>
    <t>ОсОО "Бизнес Консалтинг Групп" (Business Consulting Group)</t>
  </si>
  <si>
    <t>ГУ "Кыргызский научно-исследовательский институт земледелия" при Министерстве сельского хозяйства КР"</t>
  </si>
  <si>
    <t>ОсОО "Бишкекская компания облачных технологий Мейкер"</t>
  </si>
  <si>
    <t>ОсОО"Fox Pro" (Фокс Про)</t>
  </si>
  <si>
    <t>ОсОО "Кадыке"</t>
  </si>
  <si>
    <t>ОсОО "Asia Oil Trade"</t>
  </si>
  <si>
    <t>ОсОО "Тилекстрой"</t>
  </si>
  <si>
    <t>ОсОО "Строительная компания "Шияр Строй"</t>
  </si>
  <si>
    <t>ОсОО "Test Drive" (Тест Драйв)</t>
  </si>
  <si>
    <t>ОсОО "Амотех"</t>
  </si>
  <si>
    <t>ОсОО "Кербен Компани"</t>
  </si>
  <si>
    <t>ОсОО "Мехстройтехснаб"</t>
  </si>
  <si>
    <t>ОсОО "ANTEN" (АНТЕН)</t>
  </si>
  <si>
    <t>Асымбеков Арсен Эмильбекович</t>
  </si>
  <si>
    <t>ОсОО «TRANSMOTO» (ТРАНСМОТО)</t>
  </si>
  <si>
    <t>ОсОО "Тандал"</t>
  </si>
  <si>
    <t>ОсОО "Кемар"</t>
  </si>
  <si>
    <t>Кыргызско-Российское ОсОО "Фирма AKIF" (АКИФ)</t>
  </si>
  <si>
    <t>ОсОО "Строительная фирма "ЫРЫСБЕК"</t>
  </si>
  <si>
    <t>ОсОО "Sit Co" (Сит Ко)</t>
  </si>
  <si>
    <t>ОсОО "Silwayco" (Силвайко)</t>
  </si>
  <si>
    <t>ОсОО "Дженерал Инвест Компани"</t>
  </si>
  <si>
    <t>ОсОО "Кейджи гипс"</t>
  </si>
  <si>
    <t>ОсОО «Феникс Кей Джи Плюс»</t>
  </si>
  <si>
    <t>Филиал "Некоммерческой ассоциации "ЕВРОПЕЙСКИЙ ОБРАЗОВАТЕЛЬНЫЙ ФОРУМ - Кыргызстан"</t>
  </si>
  <si>
    <t>ГП «Авиационное предприятие при Министерстве чрезвычайных ситуаций КР»</t>
  </si>
  <si>
    <t>ОсОО "Производственное предприятие "МИНУР"</t>
  </si>
  <si>
    <t>Филиал ОсОО "ПрофЛайн" в КР</t>
  </si>
  <si>
    <t>ОсОО "PALM"</t>
  </si>
  <si>
    <t>ОсОО "Артик KG" (Артык КейДжи)</t>
  </si>
  <si>
    <t>ОсОО "Альянс Трейд Евразия"</t>
  </si>
  <si>
    <t>Учреждение таможня "Манас"</t>
  </si>
  <si>
    <t>ОсОО "Лес Пром Сервис"</t>
  </si>
  <si>
    <t>ОсОО "DARVIN"</t>
  </si>
  <si>
    <t>ОсОО "Тейде"</t>
  </si>
  <si>
    <t>ОсОО "PEKTUSAN" (ПЕКТУСАН)</t>
  </si>
  <si>
    <t>ОсОО "Дениз Бетон"</t>
  </si>
  <si>
    <t>ОсОО "Mobi Line"</t>
  </si>
  <si>
    <t>ОсОО "Эхо Манаса"</t>
  </si>
  <si>
    <t>Бишкекский Филиал ОсОО "Ак-Моло"</t>
  </si>
  <si>
    <t>ОАО "Конструкторское бюро инструмента"</t>
  </si>
  <si>
    <t>Ремонтно-строительное управление №3 Ленинского района</t>
  </si>
  <si>
    <t>ОсОО "DENNIK LI" (ДЕННИК ЛИ)</t>
  </si>
  <si>
    <t>ОсОО "K-Mart" (Кей-Март)</t>
  </si>
  <si>
    <t>01309200110066</t>
  </si>
  <si>
    <t>41803201910199</t>
  </si>
  <si>
    <t>00112197010011</t>
  </si>
  <si>
    <t>02511197110014</t>
  </si>
  <si>
    <t>00411201010076</t>
  </si>
  <si>
    <t>00308200110031</t>
  </si>
  <si>
    <t>00303199910207</t>
  </si>
  <si>
    <t>00112199210079</t>
  </si>
  <si>
    <t>01005201110260</t>
  </si>
  <si>
    <t>00608201810123</t>
  </si>
  <si>
    <t>00912202010381</t>
  </si>
  <si>
    <t>00110200310131</t>
  </si>
  <si>
    <t>00804202110207</t>
  </si>
  <si>
    <t>01503202310523</t>
  </si>
  <si>
    <t>03012199610150</t>
  </si>
  <si>
    <t>02810200510156</t>
  </si>
  <si>
    <t>02410202210509</t>
  </si>
  <si>
    <t>Учреждение "Чуйский университет им.С.Мамбеткалиева"</t>
  </si>
  <si>
    <t>Учреждение "Образовательная организация "Баласагын-Бишкек"</t>
  </si>
  <si>
    <t>Некоммерческий жилищный кооператив "ЖанАй-БекТин"</t>
  </si>
  <si>
    <t>Учреждение "Кыргызский авиационный инстутут имени И.Абдраимова"</t>
  </si>
  <si>
    <t>ОАО "Эйр Кыргызстан"</t>
  </si>
  <si>
    <t>ОсОО "PEGAS Ala-Too" (ПЕГАС Ала-Тоо)</t>
  </si>
  <si>
    <t>ОсОО "Массив ЛТД"</t>
  </si>
  <si>
    <t>ОсОО "Икванокс"</t>
  </si>
  <si>
    <t>ОсОО "Восторг трейд"</t>
  </si>
  <si>
    <t>ОсОО "Строительный "Атлант Холдинг"</t>
  </si>
  <si>
    <t>ОсОО "Кыргыззоот"</t>
  </si>
  <si>
    <t>Филиал «Гостиничный комплекс «Ак-Кеме» ГП «Дирекция по управлению объектами» при Фонде по управлению государственным имуществом при Министерстве экономики и коммерции КР»</t>
  </si>
  <si>
    <t>ГП "Управление строительства, инвестиций и торговли" при Фонде по управлению государственным имуществом при Правительстве КР"</t>
  </si>
  <si>
    <t>Учреждение "Чуй-Бишкекское Управление юстиции"</t>
  </si>
  <si>
    <t>Учреждение "Чуйское областное управление Судебного департамента при Верховном суде КР"</t>
  </si>
  <si>
    <t>ОсОО "Апрель-ТВ"</t>
  </si>
  <si>
    <t>ГП "Государственно-ведомственное предприятие осуществляющее деятельность по жилищно-коммунальному хозяйству жилых домов Госагентства по геологии "Домуправление геологии"</t>
  </si>
  <si>
    <t>ОсОО "АБУ ГОЛД"</t>
  </si>
  <si>
    <t>02903201210019</t>
  </si>
  <si>
    <t>МП "Сулюкта-Тазалык" при мэрии города Сулюкта</t>
  </si>
  <si>
    <t>Учреждение Лейлекский районный отдел культуры</t>
  </si>
  <si>
    <t>Асанов Батырбек Байсалбекович</t>
  </si>
  <si>
    <t>Калмурзаев Назарбек Турдубекович</t>
  </si>
  <si>
    <t>Учреждение "Департамент муниципальной собственности при мэрии города Кызыл-Кыя"</t>
  </si>
  <si>
    <t>ОсОО "Имамидинов экспорт"</t>
  </si>
  <si>
    <t>ОсОО "Халил Имран"</t>
  </si>
  <si>
    <t>ОАО "Кадамжайский сурьмяный комбинат"</t>
  </si>
  <si>
    <t>ОАО "Кадамжайское шахтостроительное управление"</t>
  </si>
  <si>
    <t>02006197810012</t>
  </si>
  <si>
    <t>Учреждение "Кадамжайское районное управление по градостроительству и архитектуре Государственного агентства архитектуры, строительства и жилищно-коммунального хозяйства при Кабинете Министров КР"</t>
  </si>
  <si>
    <t>Представительство «Дорожно-эксплуатационное предприятие №2 ГП «Кыргызавтожол» при Министерстве транспорта и коммуникаций КР»</t>
  </si>
  <si>
    <t>ОсОО "Премиум Групп"</t>
  </si>
  <si>
    <t>ОсОО "НК Сервис Групп"</t>
  </si>
  <si>
    <t>ОсОО "Металл-Инвест Плюс"</t>
  </si>
  <si>
    <t>ОсОО "ТМ-К Бетон"</t>
  </si>
  <si>
    <t>ОсОО «Тивала»</t>
  </si>
  <si>
    <t>ОсОО "ТехИнженирс"</t>
  </si>
  <si>
    <t>ОсОО "Тобако Маркет"</t>
  </si>
  <si>
    <t>Эшенкулов Азамат Разакулович</t>
  </si>
  <si>
    <t>Насиров Султанбек Закиралиевич</t>
  </si>
  <si>
    <t>ОсОО "Артель Холдинг"</t>
  </si>
  <si>
    <t>ОсОО "Световод"</t>
  </si>
  <si>
    <t>ОсОО "МегаКомпани"</t>
  </si>
  <si>
    <t>ОсОО "ГАЗТОРГ"</t>
  </si>
  <si>
    <t>ОсОО "AD-group engineering" (АД-групп инжениринг)</t>
  </si>
  <si>
    <t>ОсОО "СУ Компани"</t>
  </si>
  <si>
    <t>ОсОО "Кыргызтемирмык"</t>
  </si>
  <si>
    <t>Нурбек уулу Самат</t>
  </si>
  <si>
    <t>ОсОО "Стал-Ин"</t>
  </si>
  <si>
    <t>Абдурасулов Назир Абдыкалиевич</t>
  </si>
  <si>
    <t>ОсОО "ПЛАЗА"</t>
  </si>
  <si>
    <t>ОсОО "КИВИ Компани"</t>
  </si>
  <si>
    <t>ОсОО "КТЖ Логистик"</t>
  </si>
  <si>
    <t>Оморова Салтанат Абдылдабековна</t>
  </si>
  <si>
    <t>ОсОО "ElGold" (Эл Голд)</t>
  </si>
  <si>
    <t>ОсОО "Леско"</t>
  </si>
  <si>
    <t>ОсОО «AL MADINA» (Аль Мадина)</t>
  </si>
  <si>
    <t>ОсОО "Full-Line Company" (Фул-Лайн Компани)</t>
  </si>
  <si>
    <t>ОсОО "Куттуу жээк"</t>
  </si>
  <si>
    <t>ОсОО "Humantech-Bishkek"</t>
  </si>
  <si>
    <t>ОсОО "Компания Мекон"</t>
  </si>
  <si>
    <t>ОсОО «AIG KG» (АИГ КГ)</t>
  </si>
  <si>
    <t>ОсОО "Galax Limited” (Галакс Лимитед)</t>
  </si>
  <si>
    <t>Бишкекский филиал ОсОО "ИНТЕРРУСТРЕЙД"</t>
  </si>
  <si>
    <t>Бишкекский филиал ОсОО "ТяжМашПромТорг"</t>
  </si>
  <si>
    <t>Бишкекский филиал ОсОО "Полларис"</t>
  </si>
  <si>
    <t>Филиал компании "HUMANTECH KOREA" (ХЮМОНТЕК КОРЕЯ) в КР</t>
  </si>
  <si>
    <t>Филиал АО "Озгюн Иншаат, Таахют ве Тижарет"</t>
  </si>
  <si>
    <t>ОсОО "Рекламная фирма "Рубикон"</t>
  </si>
  <si>
    <t>Представительство ГУП "Внешнеэкономическое объединение "Технопромэкспорт" в г. Бишкек</t>
  </si>
  <si>
    <t>ОсОО "Темир Канат"</t>
  </si>
  <si>
    <t>ОсОО "Тын-Сай"</t>
  </si>
  <si>
    <t>ОсОО "Атриум сервис"</t>
  </si>
  <si>
    <t>ОсОО "Ком-БАТ"</t>
  </si>
  <si>
    <t>ОсОО "КЭШ снабстройсервис"</t>
  </si>
  <si>
    <t>Учреждение "Международная академия традиционной и экспериментальной медицины при Министерстве здравоохранения КР"</t>
  </si>
  <si>
    <t>ОсОО "Дихнис"</t>
  </si>
  <si>
    <t>ОсОО "CF Logistik" (Cи Эв лоджистик)</t>
  </si>
  <si>
    <t>ОсОО "Hi Tech Строй"</t>
  </si>
  <si>
    <t>ОсОО "ИСИТО"</t>
  </si>
  <si>
    <t>ОсОО "Стоккер"</t>
  </si>
  <si>
    <t>ОсОО "NSI" (Эн Эс Ай)</t>
  </si>
  <si>
    <t>ОсОО "Erku fly" (Эрку флай)</t>
  </si>
  <si>
    <t>ОсОО "Efest Group" (Эфест Групп)</t>
  </si>
  <si>
    <t>ОсОО "Lastrelly company"</t>
  </si>
  <si>
    <t>ОсОО "Words"</t>
  </si>
  <si>
    <t>ОсОО "РекЛэнд"</t>
  </si>
  <si>
    <t>ОсОО "Erdemli Construction" (Эрдемли Констракшн)</t>
  </si>
  <si>
    <t>ОсОО "Дельта Сталь Компании Кей Джи"</t>
  </si>
  <si>
    <t>ОАО "РАЙДЕР АССОШИЭЙТС ЛИМИТЕД"</t>
  </si>
  <si>
    <t>ОсОО "Азия-Энергострой-Сервис"</t>
  </si>
  <si>
    <t>ОсОО "Жилищные перспективы"</t>
  </si>
  <si>
    <t>Учреждение "Управление санаторно-курортных и туристических организаций Федерации профсоюзов Кыргызстана ("Кыргызкурорттуризм")"</t>
  </si>
  <si>
    <t>ОсОО "TSB" Temp System Building" ("ТиЭсБи" Тэмп Систем Билдинг)</t>
  </si>
  <si>
    <t>Совместное Кыргызско-Британское предприятие ОсОО "Диол"</t>
  </si>
  <si>
    <t>ОсОО "Нарын Комур"</t>
  </si>
  <si>
    <t>Филиал АО "КУРУЛУМ ТААХХЮТ ИНШААТ САНАЙИ ВЕ ТИЖАРЕТ" в КР</t>
  </si>
  <si>
    <t>ОсОО "Электродвигатель"</t>
  </si>
  <si>
    <t>ОсОО "KG КУРУЛУШ-1" (Кей Джи КУРУЛУШ-1)</t>
  </si>
  <si>
    <t>Монтажно-наладочное ОсОО "Энергоучет"</t>
  </si>
  <si>
    <t>ОсОО "Гранд Строй Сервис"</t>
  </si>
  <si>
    <t>ОсОО "At Empire"</t>
  </si>
  <si>
    <t>ОсОО "Бушель"</t>
  </si>
  <si>
    <t>ОсОО "Облако Групп"</t>
  </si>
  <si>
    <t>ОсОО "Торговля ГЕРМЕС"</t>
  </si>
  <si>
    <t>ОсОО «Green Pet Flake» (Грин Пет Флейк)</t>
  </si>
  <si>
    <t>ОсОО "Анеско"</t>
  </si>
  <si>
    <t>ОсОО "Шукрона"</t>
  </si>
  <si>
    <t>ОсОО "ЭРЗИ"</t>
  </si>
  <si>
    <t>ОсОО "Синан Инвест"</t>
  </si>
  <si>
    <t>ОсОО "VVP trans" (ВВП транс)</t>
  </si>
  <si>
    <t>ОсОО "Art Style Design" (Арт Стайл Дизайн)</t>
  </si>
  <si>
    <t>ОсОО "Гефорт"</t>
  </si>
  <si>
    <t>ОсОО "СБС Инжиниринг"</t>
  </si>
  <si>
    <t>ОсОО «АзияДорСтрой» (AsiaDorStroi)</t>
  </si>
  <si>
    <t>ОсОО "Zealous Trade" (Зэлэс Трэйд)</t>
  </si>
  <si>
    <t>ОсОО "Михман Интернейшнл"</t>
  </si>
  <si>
    <t>ОсОО "Unique Solutions" (Юник Солюшнс)</t>
  </si>
  <si>
    <t>ОсОО "Центр международной торговли "Асыл Таш"</t>
  </si>
  <si>
    <t>Филиал АО "Косеоглу Иншаат ве тижарет" (Koseoglu Insaat ve Ticaret) в КР</t>
  </si>
  <si>
    <t>ОсОО "Ореми-Тяжэлектромаш"</t>
  </si>
  <si>
    <t>ОсОО "Интеграция-ЦА"</t>
  </si>
  <si>
    <t>ОсОО "Прогресс Трейд"</t>
  </si>
  <si>
    <t>ОсОО "Авиакомпания "ВАЛОР ЭЙР"</t>
  </si>
  <si>
    <t>ОсОО "Торгово-строительная компания "Global-Kurulush" (Глобал-Курулуш)</t>
  </si>
  <si>
    <t>ОсОО "ТОРГОВО-ФИНАНСОВАЯ ЭЛЕКТРОТЕХНИЧЕСКАЯ КОМПАНИЯ"</t>
  </si>
  <si>
    <t>Бишкекский филиал "Центральноазиатского Банка сотрудничества и развития"</t>
  </si>
  <si>
    <t>ОсОО "Виктори Дистрибьютинг"</t>
  </si>
  <si>
    <t>ОсОО "ИЛЕКШН"</t>
  </si>
  <si>
    <t>МП "Бишкекское пассажирское автотранспортное предприятие"</t>
  </si>
  <si>
    <t>ГП "Управление военной торговли" при Министерстве обороны КР</t>
  </si>
  <si>
    <t>ОсОО "БиЖей Дриллинг Интернэшнл Лимитед"</t>
  </si>
  <si>
    <t>ГП "Хозрасчетное предприятие "Ак-Суу" "Национальной компании "Кыргыз темир жолу"</t>
  </si>
  <si>
    <t>ОсОО "Artis Palin Corporation" (Артис Палин Корпорейшн)</t>
  </si>
  <si>
    <t>Учреждение "Главное управление финансово-хозяйственного обеспечения Министерства внутренних дел КР"</t>
  </si>
  <si>
    <t>ОсОО «Памир Контракт Плюс»</t>
  </si>
  <si>
    <t>ОсОО "Руфина Стройдизайн"</t>
  </si>
  <si>
    <t>ОсОО "ТРАНСПОРТНАЯ КОМПАНИЯ "ТРАНСЛОГИСТИК"</t>
  </si>
  <si>
    <t>ОсОО "Охранное агентство "Мегаладон"</t>
  </si>
  <si>
    <t>ОсОО "РоссЛюкс"</t>
  </si>
  <si>
    <t>ОсОО "Атис Би"</t>
  </si>
  <si>
    <t>ГРИП при Министерстве транспорта и коммуникаций КР "Строительство альтернативной дороги север-юг"</t>
  </si>
  <si>
    <t>ОсОО "Компания Салым Курулуш"</t>
  </si>
  <si>
    <t>ОсОО "Эйч Эм Транс Кей Джи"</t>
  </si>
  <si>
    <t>Филиал "Корпорации "Джон Сноу, Инк" в КР</t>
  </si>
  <si>
    <t>ОсОО "Мостовик-Бишкек"</t>
  </si>
  <si>
    <t>ОсОО "Вторичный Автотерминал"</t>
  </si>
  <si>
    <t>02208199710156</t>
  </si>
  <si>
    <t>43012200310315</t>
  </si>
  <si>
    <t>01609200310175</t>
  </si>
  <si>
    <t>01005202110077</t>
  </si>
  <si>
    <t>02706201110201</t>
  </si>
  <si>
    <t>02301200810336</t>
  </si>
  <si>
    <t>01505199110058</t>
  </si>
  <si>
    <t>03010201310131</t>
  </si>
  <si>
    <t>02007202310252</t>
  </si>
  <si>
    <t>03101200610219</t>
  </si>
  <si>
    <t>01409202010080</t>
  </si>
  <si>
    <t>02410201410049</t>
  </si>
  <si>
    <t>40112201710147</t>
  </si>
  <si>
    <t>01811202210207</t>
  </si>
  <si>
    <t>02610201510117</t>
  </si>
  <si>
    <t>02007201510188</t>
  </si>
  <si>
    <t>01303201210181</t>
  </si>
  <si>
    <t>00603201410039</t>
  </si>
  <si>
    <t>Некоммерческий жилищный кооператив "Ихсан Групп ЛТД"</t>
  </si>
  <si>
    <t>Образовательное учреждение «Общеобразовательная школа с хореографическим уклоном»</t>
  </si>
  <si>
    <t>ОАО "Азия УниверсалБанк"</t>
  </si>
  <si>
    <t>Учреждение "Министерство здравоохранения и социального развития КР"</t>
  </si>
  <si>
    <t>ОсОО "ТрансАзия уголь Компани"</t>
  </si>
  <si>
    <t>ОАО "Ак Банк"</t>
  </si>
  <si>
    <t>ОсОО "Группа Компаний Сиерра"</t>
  </si>
  <si>
    <t>ОсОО "Буудай-АО"</t>
  </si>
  <si>
    <t>ОсОО "Султан один"</t>
  </si>
  <si>
    <t>ОсОО "Аль-Бакара Групп"</t>
  </si>
  <si>
    <t>ОсОО "Алтынбек Альянс"</t>
  </si>
  <si>
    <t>Филиал "Центр международного почтового обмена и логистики" ОАО "Кыргыз почтасы"</t>
  </si>
  <si>
    <t>ОсОО "Vertex Gold Company" (Вертекс Голд Компани)</t>
  </si>
  <si>
    <t>ОсОО "Культурно-деловой центр "Дом Москвы"</t>
  </si>
  <si>
    <t>Филиал "Чуйская специализированная передвижная механизированная колонна" ГП "Кыргызтеплоэнерго"</t>
  </si>
  <si>
    <t>Учреждение "Ветеринарная служба при Министерстве сельского хозяйства КР"</t>
  </si>
  <si>
    <t>ОсОО "САНИНТЕР"</t>
  </si>
  <si>
    <t>ОсОО "ЛИГНИТ"</t>
  </si>
  <si>
    <t>ОсОО "Кронос компани"</t>
  </si>
  <si>
    <t>ОсОО "Миракс Компани"</t>
  </si>
  <si>
    <t>ООО "Ай-Скай"</t>
  </si>
  <si>
    <t>ОсОО "ВСПЕ Транс Трейд"</t>
  </si>
  <si>
    <t>ОсОО "ИСК ИНТЕЛКОЛЛ"</t>
  </si>
  <si>
    <t>Асанбеков Адилет Бакытович</t>
  </si>
  <si>
    <t>ОсОО "МКК "Алтын капитал"</t>
  </si>
  <si>
    <t>Арзыбаева Гулмайрам Баратовна</t>
  </si>
  <si>
    <t>ОсОО "Альянз-Экшн"</t>
  </si>
  <si>
    <t>ОсОО "МЦ Томографии"</t>
  </si>
  <si>
    <t>Календеров Бекназар Зарипбекович</t>
  </si>
  <si>
    <t>ОсОО "Нази Компани"</t>
  </si>
  <si>
    <t>ОсОО "Фасад КЖ"</t>
  </si>
  <si>
    <t>Жумагулов Нурбек Таалайбекович</t>
  </si>
  <si>
    <t>ОсОО "ТИССА ПРО ВЕНТ"</t>
  </si>
  <si>
    <t>ОсОО "Корнерстоун"</t>
  </si>
  <si>
    <t>ОсОО "Параметр"</t>
  </si>
  <si>
    <t>ОсОО "Легал Компани"</t>
  </si>
  <si>
    <t>ОсОО "Хиллс"</t>
  </si>
  <si>
    <t>Кудайбердиев Сыймык Мирбекович</t>
  </si>
  <si>
    <t>ОсОО "ДЖИ2"</t>
  </si>
  <si>
    <t>ОсОО "Магнат компани"</t>
  </si>
  <si>
    <t>Молдалиев Талгат Нурланович</t>
  </si>
  <si>
    <t>Нарбеков Урматбек Улукбекович</t>
  </si>
  <si>
    <t>ОсОО "Дениз медикал"</t>
  </si>
  <si>
    <t>Эшдолотов Эмиль Маратович</t>
  </si>
  <si>
    <t>ОсОО "Исра-Мираж"</t>
  </si>
  <si>
    <t>ОсОО "Басан"</t>
  </si>
  <si>
    <t>ОсОО «Grand avto» (Гранд авто)</t>
  </si>
  <si>
    <t>ОсОО "Гранит Терра"</t>
  </si>
  <si>
    <t>ОсОО "ИТЭМ"</t>
  </si>
  <si>
    <t>Филиал ОсОО "ВЭД-ЭКСПЕРТ" в КР</t>
  </si>
  <si>
    <t>Филиал АО "ЧАКЫР ЯПЫ САНАЙИ ВЕ ТИЖАРЕТ" в КР</t>
  </si>
  <si>
    <t>ГП "Северный Центр по реагированию на чрезвычайные ситуации" МЧС КР"</t>
  </si>
  <si>
    <t>ОсОО "Грин транс логистик"</t>
  </si>
  <si>
    <t>ОсОО "ДЖИ-СЕРВИС"</t>
  </si>
  <si>
    <t>ОАО "Автотранспортное предприятие №6"</t>
  </si>
  <si>
    <t>ОсОО "Торгово-промышленная компания АКТАНТ"</t>
  </si>
  <si>
    <t>ОсОО "Стар Технолоджи"</t>
  </si>
  <si>
    <t>ОсОО "Империал Девелопмент"</t>
  </si>
  <si>
    <t>ОсОО "Электронные системы безапасности"</t>
  </si>
  <si>
    <t>ОсОО "Asia Lux"</t>
  </si>
  <si>
    <t>ОсОО "Rising" (Райзинг)</t>
  </si>
  <si>
    <t>ОсОО "Fly" (Флай)</t>
  </si>
  <si>
    <t>ОАО "Корпорация"Ак-Марал"</t>
  </si>
  <si>
    <t>ОсОО "Man.Eng.Group"</t>
  </si>
  <si>
    <t>ОсОО "Reon Group"</t>
  </si>
  <si>
    <t>ОсОО "Эр-Канат"</t>
  </si>
  <si>
    <t>ОсОО "AMADENA" (АМАДЕНА)</t>
  </si>
  <si>
    <t>ОсОО "Галлея"</t>
  </si>
  <si>
    <t>ОсОО «Magic» (Мэджик)</t>
  </si>
  <si>
    <t>ОсОО "Глобал Констракшн"</t>
  </si>
  <si>
    <t>ОсОО "Сентимент"</t>
  </si>
  <si>
    <t>ОсОО "Boodan Trade" (Буудан Трейд)</t>
  </si>
  <si>
    <t>ОсОО "Relentnessless"</t>
  </si>
  <si>
    <t>ОсОО "Ламплайтс"</t>
  </si>
  <si>
    <t>ОсОО "Блю Рэй"</t>
  </si>
  <si>
    <t>ОсОО "Стройпарк"</t>
  </si>
  <si>
    <t>ОсОО "ИНФИНИТИ ЛОГИСТИК ПЛЮС"</t>
  </si>
  <si>
    <t>ОсОО "МедиаХолдинг "Пирамида"</t>
  </si>
  <si>
    <t>ОсОО "Кыргыз Курулуш Долбоор"</t>
  </si>
  <si>
    <t>ОсОО "Инжиниринг Технолоджи"</t>
  </si>
  <si>
    <t>ОсОО "МЭКАС"</t>
  </si>
  <si>
    <t>ОсОО "Центр высоких технологий "Tumar Technology" (Тумар Технолоджи)</t>
  </si>
  <si>
    <t>ГП «Таможенная инфраструктура» при Государственной таможенной службе при Министерстве финансов КР</t>
  </si>
  <si>
    <t>ОсОО "Европолис"</t>
  </si>
  <si>
    <t>ОсОО "Олотой"</t>
  </si>
  <si>
    <t>Учреждение "Департамент по управлению муниципальным имуществом мэрии города Бишкек"</t>
  </si>
  <si>
    <t>ОсОО "СПАТ"</t>
  </si>
  <si>
    <t>ОсОО "ИСКА-Строй"</t>
  </si>
  <si>
    <t>ОсОО "MC" ("Marketing Communications" (Маркетинговые Коммуникации))</t>
  </si>
  <si>
    <t>ОсОО "Навис Трейдинг-Логистик"</t>
  </si>
  <si>
    <t>ГУ "Производственно-инновационный центр" при Министерстве транспорта и коммуникаций КР</t>
  </si>
  <si>
    <t>Учреждение "Таможня обеспечения"</t>
  </si>
  <si>
    <t>ОсОО "Ай Фен Компани"</t>
  </si>
  <si>
    <t>ОсОО "Престиж транс ком"</t>
  </si>
  <si>
    <t>ОсОО "Мебельная Компания "Кабинет"</t>
  </si>
  <si>
    <t>ОсОО "Охранное Агентство "НУР-Безопасность"</t>
  </si>
  <si>
    <t>ОсОО "TREND" (Тренд)</t>
  </si>
  <si>
    <t>ОсОО "Лицей при "Кыргызском горно-геологическом и транспортном колледже"</t>
  </si>
  <si>
    <t>ОсОО "МУЛЬТИПЛЕКС ИНК"</t>
  </si>
  <si>
    <t>ОсОО "ТКБ групп"</t>
  </si>
  <si>
    <t>ОсОО "Строительная Компания "Aikup stroi" (Айкуп строй)</t>
  </si>
  <si>
    <t>Высшее профессиональное образовательное Учреждение "Международный университет науки и бизнеса"</t>
  </si>
  <si>
    <t>ОсОО "Эркин и Компания"</t>
  </si>
  <si>
    <t>ОсОО "Финансовая компания Деловые игры"</t>
  </si>
  <si>
    <t>ОсОО "Synс Master" (Синк Мастер)</t>
  </si>
  <si>
    <t>ОсОО "Художественный фонд" при Союзе художников КР</t>
  </si>
  <si>
    <t>ОсОО "Джоинт Глобал Партнерс"</t>
  </si>
  <si>
    <t>ОсОО «Practical Centre Bishkek» (Практикал Центр Бишкек)</t>
  </si>
  <si>
    <t>ОсОО "Охранно-детективное агентство Азамат"</t>
  </si>
  <si>
    <t>ОсОО "Компания G A A (Джи Эй Эй)"</t>
  </si>
  <si>
    <t>01110200610166</t>
  </si>
  <si>
    <t>01803199710028</t>
  </si>
  <si>
    <t>02907200410161</t>
  </si>
  <si>
    <t>02708199210057</t>
  </si>
  <si>
    <t>01911201810010</t>
  </si>
  <si>
    <t>02609201810017</t>
  </si>
  <si>
    <t>01204202310237</t>
  </si>
  <si>
    <t>03009201410137</t>
  </si>
  <si>
    <t>02907200510014</t>
  </si>
  <si>
    <t>02804200610120</t>
  </si>
  <si>
    <t>02410200010141</t>
  </si>
  <si>
    <t>02711199610125</t>
  </si>
  <si>
    <t>02811199610197</t>
  </si>
  <si>
    <t>00712200410209</t>
  </si>
  <si>
    <t>01505200910247</t>
  </si>
  <si>
    <t>02502199710055</t>
  </si>
  <si>
    <t>02908202310045</t>
  </si>
  <si>
    <t>01406200410098</t>
  </si>
  <si>
    <t>02203201210302</t>
  </si>
  <si>
    <t>00207199910024</t>
  </si>
  <si>
    <t>42507202210427</t>
  </si>
  <si>
    <t>01003202210315</t>
  </si>
  <si>
    <t>01111199810062</t>
  </si>
  <si>
    <t>00703200310296</t>
  </si>
  <si>
    <t>01204200710118</t>
  </si>
  <si>
    <t>Проектно-изыскательский институт "Кыргыздортранспроект"</t>
  </si>
  <si>
    <t>Учреждение "Учебный центр Социального фонда Кыргызской Республики"</t>
  </si>
  <si>
    <t>Общественный благотворительный фонд "Светлый путь"</t>
  </si>
  <si>
    <t>ЗАО "Пятый Канал"</t>
  </si>
  <si>
    <t>ОсОО "КейДжиБиотех"</t>
  </si>
  <si>
    <t>ОсОО "Андаш Майнинг Компани"</t>
  </si>
  <si>
    <t>ОсОО "Охранное Агентство "Адилет КейДжи"</t>
  </si>
  <si>
    <t>ОАО "Оргтехстрой"</t>
  </si>
  <si>
    <t>ОсОО "Трейд-Икс"</t>
  </si>
  <si>
    <t>ОсОО "ТД Семь дней"</t>
  </si>
  <si>
    <t>ОсОО "ZEBERCET" (ЗЕБЕРДЖЕТ)</t>
  </si>
  <si>
    <t>ОсОО "Равон Моторс Тянь-Шань"</t>
  </si>
  <si>
    <t>ОсОО "КЖ Глобал Компани"</t>
  </si>
  <si>
    <t>ОсОО "Вега Операйтинг Компани"</t>
  </si>
  <si>
    <t>ОсОО "Макмал Голд Компани"</t>
  </si>
  <si>
    <t>Совместное кыргызско-малайзийское предприятие "Отель "Ак-Кеме"</t>
  </si>
  <si>
    <t>МУ "Управление образования Октябрьского района мэрии города Бишкек"</t>
  </si>
  <si>
    <t>ГП "Кыргызфармация" при Министерстве здравоохранения КР"</t>
  </si>
  <si>
    <t>Объединеие юридических лиц "Кыргызская Ассоциация Психиатров"</t>
  </si>
  <si>
    <t>Совместное Кыргызско-Российское ОсОО "КРОС Инк"</t>
  </si>
  <si>
    <t>Филиал «Металлпром» ГП «Дирекция по управлению объектами» при Фонде по управлению государственным имуществом при Министерстве экономики и коммерции КР»</t>
  </si>
  <si>
    <t>МП "Испытательная дорожная лаборатория"</t>
  </si>
  <si>
    <t>Учреждение "Профессиональный лицей информационных технологий № 99 при Президенте КР"</t>
  </si>
  <si>
    <t>ОсОО "Грант - старт"</t>
  </si>
  <si>
    <t>Товарищество собственников жилья "Проус"</t>
  </si>
  <si>
    <t>ОсОО "ХОШИМ"</t>
  </si>
  <si>
    <t>ОсОО " РАДУГА -Т"</t>
  </si>
  <si>
    <t xml:space="preserve">ГП “Элдик” при Фонде по управлению государственным имуществом при Министерстве инвестиции КР	</t>
  </si>
  <si>
    <t>ОсОО "ЮКМ и К"</t>
  </si>
  <si>
    <t>01705199710011</t>
  </si>
  <si>
    <t>ЗАО "Кыргыз Петролеум Компани"</t>
  </si>
  <si>
    <t>Мадаминов Бахтиёр Пулатович</t>
  </si>
  <si>
    <t>01411200710045</t>
  </si>
  <si>
    <t>Учреждение "Департамент по управлению муниципальной собственностью"</t>
  </si>
  <si>
    <t>Стамов Нуркул Маматкулович</t>
  </si>
  <si>
    <t>ОАО "Кочкоратаайылкурулуш"</t>
  </si>
  <si>
    <t xml:space="preserve">Филиал ОАО "Национальная электрическая сеть Кыргызстана" - Жалал-Абадское предприятие электрических </t>
  </si>
  <si>
    <t>Парпиев Мелисбек Шадибекович</t>
  </si>
  <si>
    <t>Карабаева Арапатхан Октябровна</t>
  </si>
  <si>
    <t>ОсОО "Авангард и Ко"</t>
  </si>
  <si>
    <t xml:space="preserve">Аматова Пазилет </t>
  </si>
  <si>
    <t>Набиев Илхомиддин Шамшидинович</t>
  </si>
  <si>
    <t>Представительство "Дорожно-эксплуатационное предприятие № 31 ГП "Кыргызавтожол" при Министерстве транспорта и коммуникации КР"</t>
  </si>
  <si>
    <t>ОсОО "Султан Гранд"</t>
  </si>
  <si>
    <t>ГП "Кыргызгеология" при Министерстве природных ресурсов, экологии и технического надзора КР"</t>
  </si>
  <si>
    <t>Учреждение Объединение пастбищепользователей "Куршаб"</t>
  </si>
  <si>
    <t>Филиал ОАО "Национальная электрическая сеть Кыргызстана" - Ошское предприятие электрических сетей</t>
  </si>
  <si>
    <t>ОсОО "Рамазан Курулуш"</t>
  </si>
  <si>
    <t>Представительство "Дорожно-эксплуатационное предприятие №37 ГП "Кыргызавтожол" при Министерстве транспорта и коммуникаций КР"</t>
  </si>
  <si>
    <t>ОАО "УСМ "Водстрой"</t>
  </si>
  <si>
    <t>ОсОО "Чёрный Тигр"</t>
  </si>
  <si>
    <t>ОсОО "Усенов"</t>
  </si>
  <si>
    <t>Юсупжанов Хатам Алимжанович</t>
  </si>
  <si>
    <t>Жумабаев Алижан Абдисаламович</t>
  </si>
  <si>
    <t>Кудайбергенов Ойбек Ураимжонович</t>
  </si>
  <si>
    <t>Нурматов Махмуджан Гапирович</t>
  </si>
  <si>
    <t xml:space="preserve">Толонов Жолчубай </t>
  </si>
  <si>
    <t>ОсОО "Эрмек-Юг ЛТД"</t>
  </si>
  <si>
    <t>Союз ассоциации водопользователей "Увам"</t>
  </si>
  <si>
    <t>ОсОО "СК Бек Болот"</t>
  </si>
  <si>
    <t>02809199210026</t>
  </si>
  <si>
    <t>Учреждение "Араванский районный отдел образования"</t>
  </si>
  <si>
    <t>Ассоциация водопользователей - "Турк-Ата"</t>
  </si>
  <si>
    <t>ОсОО "Горная инвестиционная компания "Кайди"</t>
  </si>
  <si>
    <t>ОсОО "Альфа-Трейд Логистик"</t>
  </si>
  <si>
    <t>Абдусаматов Аваз Акмарович</t>
  </si>
  <si>
    <t>Саипов Данияр Рысмаматович</t>
  </si>
  <si>
    <t>ОсОО "Дигл"</t>
  </si>
  <si>
    <t>Абдуллаева Жазгул Абдрахмановна</t>
  </si>
  <si>
    <t>Аккошоева Арууке Тентимишевна</t>
  </si>
  <si>
    <t>ОсОО "НУРТАЙ-СЕЗИМАЙ"</t>
  </si>
  <si>
    <t>Хусанов Азизбек Муталипович</t>
  </si>
  <si>
    <t>Насирдинов Дастан Азаматович</t>
  </si>
  <si>
    <t>Косимов Дильшод Маматкаримович</t>
  </si>
  <si>
    <t>Мусакеев Дарман Манасович</t>
  </si>
  <si>
    <t>ОсОО "Ихтияр"</t>
  </si>
  <si>
    <t>ОсОО "Эко-маркет"</t>
  </si>
  <si>
    <t>ОсОО "МДС Групп Компани"</t>
  </si>
  <si>
    <t>ОсОО "Агро Престиж"</t>
  </si>
  <si>
    <t>ОсОО "Капитал-Курулуш"</t>
  </si>
  <si>
    <t>ОсОО "Интер Строй ЛТД"</t>
  </si>
  <si>
    <t>ОсОО «Рысь и Ко»</t>
  </si>
  <si>
    <t>ОсОО "Баязед Ойл"</t>
  </si>
  <si>
    <t>ОсОО "Ноокат-Строй"</t>
  </si>
  <si>
    <t>ОсОО "Асман-Ойл"</t>
  </si>
  <si>
    <t>ОсОО "IAC"</t>
  </si>
  <si>
    <t>ОсОО "Адлер Групп ЛТД"</t>
  </si>
  <si>
    <t>ОсОО "Кайрат-Алай"</t>
  </si>
  <si>
    <t>ОсОО "Акжол Курулуш-Транс"</t>
  </si>
  <si>
    <t>ОсОО "Береке Холдинг Компани"</t>
  </si>
  <si>
    <t>Учреждение "Пансионат Ош"</t>
  </si>
  <si>
    <t>ОсОО "Бостон-Азия метало продукт ЛТД"</t>
  </si>
  <si>
    <t>ОсОО "МОНАРХ стиль"</t>
  </si>
  <si>
    <t>Некоммерческий потребительский кооператив "Ансар Групп"</t>
  </si>
  <si>
    <t>ОсОО "Дорожно-строительная корпорация Сью Джоу в Оше"</t>
  </si>
  <si>
    <t>Южный филиал ГП "Таможенная инфраструктура" при Государственной таможенной службе при Министерстве финансов КР</t>
  </si>
  <si>
    <t>ОсОО "МАГбилд"</t>
  </si>
  <si>
    <t>Учреждение "Фонд развития Ошской области"</t>
  </si>
  <si>
    <t>ОсОО "Унисервис-АСТ"</t>
  </si>
  <si>
    <t>ОсОО "Ал Дияр Тоо"</t>
  </si>
  <si>
    <t>Представительство ОАО "Микрофинансовой компании "Салым Финанс" в городе Ош</t>
  </si>
  <si>
    <t>ОсОО "Ошское учебно-производственное предприятие Кыргызского общества слепых и глухих"</t>
  </si>
  <si>
    <t>42211201710021</t>
  </si>
  <si>
    <t>02411202210073</t>
  </si>
  <si>
    <t>01305200510017</t>
  </si>
  <si>
    <t>40205201910187</t>
  </si>
  <si>
    <t>42604201010081</t>
  </si>
  <si>
    <t>Филиал "Ошское межрайонное производственное объединение теплоснабжения" ГП "Кыргызтеплоэнерго" при Министерстве энергетики КР</t>
  </si>
  <si>
    <t>Учреждение "Ош-Джалал-Абадское региональное управление Министерства природных ресурсов, экологии и технического надзора КР"</t>
  </si>
  <si>
    <t>ОсОО "Охранное агентство Гром"</t>
  </si>
  <si>
    <t>Филиал "Ош" ОсОО "Кыргыз каганат"</t>
  </si>
  <si>
    <t>Южный филиал "Кыргызского государственного медицинского института переподготовки и повышения квалификации имени Санжарбека Бакировича Даниярова"</t>
  </si>
  <si>
    <t>ОАО "Учкун"</t>
  </si>
  <si>
    <t>ОсОО "КанцТорг"</t>
  </si>
  <si>
    <t>ОАО "Бишкекский машиностроительный завод"</t>
  </si>
  <si>
    <t>ОсОО "Горно-промышленная компания "Природное золото"</t>
  </si>
  <si>
    <t>ОсОО "Авиакомпания "Эйр Манас"</t>
  </si>
  <si>
    <t>ЗАО "Бета Иншаат Ятырымжылык"</t>
  </si>
  <si>
    <t>ОсОО "ОРИОН ЭКСТРА"</t>
  </si>
  <si>
    <t>01908200810080</t>
  </si>
  <si>
    <t>00408200010049</t>
  </si>
  <si>
    <t>МП "Тазалык"</t>
  </si>
  <si>
    <t>Учреждение "Департамент органического сельского хозяйства при Министерстве сельского хозяйства КР"</t>
  </si>
  <si>
    <t>ОсОО "АСК Нефть"</t>
  </si>
  <si>
    <t>ОсОО "Прометей"</t>
  </si>
  <si>
    <t>ОАО "Завод ЖБИ-4"</t>
  </si>
  <si>
    <t>Усубалиев Эрлан Джолдошпекович</t>
  </si>
  <si>
    <t>ОсОО "Береке-Голд"</t>
  </si>
  <si>
    <t>ОсОО "Манхэттен"</t>
  </si>
  <si>
    <t>ОАО "Айгуль"</t>
  </si>
  <si>
    <t>Мирзалиев Улан Дурусбекович</t>
  </si>
  <si>
    <t>ОсОО "Трейд Экспорт СА"</t>
  </si>
  <si>
    <t>ОсОО "СТК КОМПАНИ"</t>
  </si>
  <si>
    <t>Сельское общественное объединение потребителей питьевой воды "Берт-Булак"</t>
  </si>
  <si>
    <t>Учреждение "Аламудунский районный отдел культуры"</t>
  </si>
  <si>
    <t>01009201910338</t>
  </si>
  <si>
    <t>Сельское общественное объединение потребителей питьевой воды "Беш-Кунгей Булактары"</t>
  </si>
  <si>
    <t>Ташпулатов Жомолдин  Гуламжон Угли</t>
  </si>
  <si>
    <t>ОсОО "Альфа Оружейник"</t>
  </si>
  <si>
    <t>Байдаев Алий Хусеевич</t>
  </si>
  <si>
    <t>Исраилов Омурбек Берликович</t>
  </si>
  <si>
    <t>ОсОО "PAK motors" (ПАК моторс)</t>
  </si>
  <si>
    <t>Учреждение "Санаторий "Ысык-Ата" "Кыргызсский Совет по управлению курортами и туризмом профсоюзов, Федерация профсоюзов Кыргызстана"</t>
  </si>
  <si>
    <t>Крестьянское (фермерское) хозяйство "Агро-Союз кейджи"</t>
  </si>
  <si>
    <t>02306201710086</t>
  </si>
  <si>
    <t>ОсОО "КАС Импульс"</t>
  </si>
  <si>
    <t>Ассоциация (объединение) водопользователей "Жетиген Суу"</t>
  </si>
  <si>
    <t>01312200710115</t>
  </si>
  <si>
    <t>Комбинат коммунальных предприятий г. Токмок</t>
  </si>
  <si>
    <t>МП "Токмок Жылуулук"</t>
  </si>
  <si>
    <t>ОсОО "Нэжих-Мет"</t>
  </si>
  <si>
    <t>Худойкулова Зулфия Маноновна</t>
  </si>
  <si>
    <t>ОсОО "Империал Групп Ко"</t>
  </si>
  <si>
    <t>Орозалиева Дамира Уларбековна</t>
  </si>
  <si>
    <t>ОсОО "Таргет Компани"</t>
  </si>
  <si>
    <t>ОсОО "Горная инвестиционная компания "Акжолтой Ресорсес"</t>
  </si>
  <si>
    <t>ОсОО "ELKO-service LIMITED" (ЭЛКО-сервис ЛИМИТЕД)</t>
  </si>
  <si>
    <t>ЗАО "ПКЦ"</t>
  </si>
  <si>
    <t>ОсОО "Хорда Сервис"</t>
  </si>
  <si>
    <t>ОсОО "АРКТИК ЛОГИСТИК"</t>
  </si>
  <si>
    <t>ОсОО "Альдава"</t>
  </si>
  <si>
    <t>ОсОО "Караметаллресурсюг"</t>
  </si>
  <si>
    <t>Учреждение "Жайылский айыл окмоту"</t>
  </si>
  <si>
    <t>Жайылский шахматный клуб "Ак-Кула"</t>
  </si>
  <si>
    <t>ОсОО "Айти Компани"</t>
  </si>
  <si>
    <t>Заготконтора Жайылского Райпотребсоюза</t>
  </si>
  <si>
    <t>Суусамырский айыл окмоту</t>
  </si>
  <si>
    <t>42311201710332</t>
  </si>
  <si>
    <t>01010201610104</t>
  </si>
  <si>
    <t>ОсОО "Карабалтинский водочный завод"</t>
  </si>
  <si>
    <t>ОсОО «Центральная научно-исследовательская лаборатория ОАО «КГРК»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</si>
</sst>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  <numFmt numFmtId="167" formatCode="00000000000000"/>
    <numFmt numFmtId="168" formatCode="#,##0.0"/>
  </numFmts>
  <fonts count="4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u/>
      <sz val="8.5"/>
      <color theme="10"/>
      <name val="Arial"/>
      <family val="2"/>
      <charset val="204"/>
    </font>
    <font>
      <sz val="11"/>
      <color theme="1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1Janyzak Times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1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2" applyNumberFormat="0" applyAlignment="0" applyProtection="0"/>
    <xf numFmtId="0" fontId="10" fillId="26" borderId="2" applyNumberFormat="0" applyAlignment="0" applyProtection="0"/>
    <xf numFmtId="0" fontId="11" fillId="27" borderId="3" applyNumberFormat="0" applyAlignment="0" applyProtection="0"/>
    <xf numFmtId="0" fontId="12" fillId="27" borderId="3" applyNumberFormat="0" applyAlignment="0" applyProtection="0"/>
    <xf numFmtId="0" fontId="13" fillId="27" borderId="2" applyNumberFormat="0" applyAlignment="0" applyProtection="0"/>
    <xf numFmtId="0" fontId="14" fillId="27" borderId="2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7" applyNumberFormat="0" applyFill="0" applyAlignment="0" applyProtection="0"/>
    <xf numFmtId="0" fontId="22" fillId="28" borderId="8" applyNumberFormat="0" applyAlignment="0" applyProtection="0"/>
    <xf numFmtId="0" fontId="23" fillId="28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/>
    <xf numFmtId="0" fontId="5" fillId="0" borderId="0"/>
    <xf numFmtId="0" fontId="1" fillId="0" borderId="0"/>
    <xf numFmtId="0" fontId="28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16" fillId="0" borderId="0"/>
    <xf numFmtId="0" fontId="29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28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8" fillId="0" borderId="0"/>
    <xf numFmtId="0" fontId="5" fillId="0" borderId="0"/>
    <xf numFmtId="0" fontId="28" fillId="0" borderId="0"/>
    <xf numFmtId="0" fontId="1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31" borderId="9" applyNumberFormat="0" applyFont="0" applyAlignment="0" applyProtection="0"/>
    <xf numFmtId="0" fontId="6" fillId="31" borderId="9" applyNumberFormat="0" applyFont="0" applyAlignment="0" applyProtection="0"/>
    <xf numFmtId="0" fontId="5" fillId="31" borderId="9" applyNumberFormat="0" applyFont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/>
    <xf numFmtId="168" fontId="2" fillId="0" borderId="1" xfId="108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49" fontId="42" fillId="0" borderId="1" xfId="0" applyNumberFormat="1" applyFont="1" applyFill="1" applyBorder="1" applyAlignment="1">
      <alignment horizontal="center" vertical="center"/>
    </xf>
    <xf numFmtId="168" fontId="42" fillId="0" borderId="1" xfId="0" applyNumberFormat="1" applyFont="1" applyFill="1" applyBorder="1" applyAlignment="1">
      <alignment horizontal="center" vertical="center" wrapText="1"/>
    </xf>
    <xf numFmtId="168" fontId="4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167" fontId="3" fillId="0" borderId="14" xfId="0" applyNumberFormat="1" applyFont="1" applyFill="1" applyBorder="1" applyAlignment="1">
      <alignment horizontal="center" vertical="center"/>
    </xf>
    <xf numFmtId="168" fontId="3" fillId="0" borderId="14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right" vertical="center"/>
    </xf>
    <xf numFmtId="0" fontId="3" fillId="0" borderId="1" xfId="51" applyFont="1" applyFill="1" applyBorder="1" applyAlignment="1">
      <alignment horizontal="left" vertical="center" wrapText="1"/>
    </xf>
    <xf numFmtId="168" fontId="3" fillId="0" borderId="1" xfId="51" applyNumberFormat="1" applyFont="1" applyFill="1" applyBorder="1" applyAlignment="1">
      <alignment horizontal="right" vertical="center"/>
    </xf>
    <xf numFmtId="0" fontId="3" fillId="0" borderId="1" xfId="65" applyFont="1" applyFill="1" applyBorder="1" applyAlignment="1">
      <alignment horizontal="center" vertical="center"/>
    </xf>
    <xf numFmtId="167" fontId="3" fillId="0" borderId="1" xfId="6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2" fontId="3" fillId="0" borderId="1" xfId="0" applyNumberFormat="1" applyFont="1" applyFill="1" applyBorder="1" applyAlignment="1">
      <alignment horizontal="center" vertical="center" wrapText="1"/>
    </xf>
    <xf numFmtId="168" fontId="3" fillId="0" borderId="1" xfId="56" applyNumberFormat="1" applyFont="1" applyFill="1" applyBorder="1" applyAlignment="1">
      <alignment horizontal="right" vertical="center"/>
    </xf>
    <xf numFmtId="168" fontId="2" fillId="0" borderId="1" xfId="56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vertical="center"/>
    </xf>
    <xf numFmtId="0" fontId="3" fillId="0" borderId="1" xfId="7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168" fontId="3" fillId="0" borderId="0" xfId="0" applyNumberFormat="1" applyFont="1" applyFill="1" applyAlignment="1">
      <alignment horizontal="right" vertical="center"/>
    </xf>
    <xf numFmtId="0" fontId="40" fillId="33" borderId="1" xfId="0" applyFont="1" applyFill="1" applyBorder="1" applyAlignment="1">
      <alignment horizontal="center" vertical="center"/>
    </xf>
    <xf numFmtId="49" fontId="2" fillId="33" borderId="1" xfId="0" applyNumberFormat="1" applyFont="1" applyFill="1" applyBorder="1" applyAlignment="1">
      <alignment horizontal="center" vertical="center"/>
    </xf>
  </cellXfs>
  <cellStyles count="111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" xfId="19" builtinId="29" customBuiltin="1"/>
    <cellStyle name="Акцент1 2" xfId="20" xr:uid="{00000000-0005-0000-0000-000013000000}"/>
    <cellStyle name="Акцент2" xfId="21" builtinId="33" customBuiltin="1"/>
    <cellStyle name="Акцент2 2" xfId="22" xr:uid="{00000000-0005-0000-0000-000015000000}"/>
    <cellStyle name="Акцент3" xfId="23" builtinId="37" customBuiltin="1"/>
    <cellStyle name="Акцент3 2" xfId="24" xr:uid="{00000000-0005-0000-0000-000017000000}"/>
    <cellStyle name="Акцент4" xfId="25" builtinId="41" customBuiltin="1"/>
    <cellStyle name="Акцент4 2" xfId="26" xr:uid="{00000000-0005-0000-0000-000019000000}"/>
    <cellStyle name="Акцент5" xfId="27" builtinId="45" customBuiltin="1"/>
    <cellStyle name="Акцент5 2" xfId="28" xr:uid="{00000000-0005-0000-0000-00001B000000}"/>
    <cellStyle name="Акцент6" xfId="29" builtinId="49" customBuiltin="1"/>
    <cellStyle name="Акцент6 2" xfId="30" xr:uid="{00000000-0005-0000-0000-00001D000000}"/>
    <cellStyle name="Ввод " xfId="31" builtinId="20" customBuiltin="1"/>
    <cellStyle name="Ввод  2" xfId="32" xr:uid="{00000000-0005-0000-0000-00001F000000}"/>
    <cellStyle name="Вывод" xfId="33" builtinId="21" customBuiltin="1"/>
    <cellStyle name="Вывод 2" xfId="34" xr:uid="{00000000-0005-0000-0000-000021000000}"/>
    <cellStyle name="Вычисление" xfId="35" builtinId="22" customBuiltin="1"/>
    <cellStyle name="Вычисление 2" xfId="36" xr:uid="{00000000-0005-0000-0000-000023000000}"/>
    <cellStyle name="Гиперссылка 2" xfId="37" xr:uid="{00000000-0005-0000-0000-000024000000}"/>
    <cellStyle name="Денежный 2" xfId="38" xr:uid="{00000000-0005-0000-0000-000025000000}"/>
    <cellStyle name="Заголовок 1" xfId="39" builtinId="16" customBuiltin="1"/>
    <cellStyle name="Заголовок 2" xfId="40" builtinId="17" customBuiltin="1"/>
    <cellStyle name="Заголовок 3" xfId="41" builtinId="18" customBuiltin="1"/>
    <cellStyle name="Заголовок 4" xfId="42" builtinId="19" customBuiltin="1"/>
    <cellStyle name="Итог" xfId="43" builtinId="25" customBuiltin="1"/>
    <cellStyle name="Итог 2" xfId="44" xr:uid="{00000000-0005-0000-0000-00002B000000}"/>
    <cellStyle name="Контрольная ячейка" xfId="45" builtinId="23" customBuiltin="1"/>
    <cellStyle name="Контрольная ячейка 2" xfId="46" xr:uid="{00000000-0005-0000-0000-00002D000000}"/>
    <cellStyle name="Название" xfId="47" builtinId="15" customBuiltin="1"/>
    <cellStyle name="Название 2" xfId="48" xr:uid="{00000000-0005-0000-0000-00002F000000}"/>
    <cellStyle name="Нейтральный" xfId="49" builtinId="28" customBuiltin="1"/>
    <cellStyle name="Нейтральный 2" xfId="50" xr:uid="{00000000-0005-0000-0000-000031000000}"/>
    <cellStyle name="Обычный" xfId="0" builtinId="0"/>
    <cellStyle name="Обычный 10" xfId="51" xr:uid="{00000000-0005-0000-0000-000033000000}"/>
    <cellStyle name="Обычный 10 2" xfId="52" xr:uid="{00000000-0005-0000-0000-000034000000}"/>
    <cellStyle name="Обычный 11" xfId="53" xr:uid="{00000000-0005-0000-0000-000035000000}"/>
    <cellStyle name="Обычный 11 2" xfId="54" xr:uid="{00000000-0005-0000-0000-000036000000}"/>
    <cellStyle name="Обычный 2" xfId="55" xr:uid="{00000000-0005-0000-0000-000037000000}"/>
    <cellStyle name="Обычный 2 11" xfId="56" xr:uid="{00000000-0005-0000-0000-000038000000}"/>
    <cellStyle name="Обычный 2 2" xfId="57" xr:uid="{00000000-0005-0000-0000-000039000000}"/>
    <cellStyle name="Обычный 2 2 2" xfId="58" xr:uid="{00000000-0005-0000-0000-00003A000000}"/>
    <cellStyle name="Обычный 2 3" xfId="59" xr:uid="{00000000-0005-0000-0000-00003B000000}"/>
    <cellStyle name="Обычный 2 4" xfId="60" xr:uid="{00000000-0005-0000-0000-00003C000000}"/>
    <cellStyle name="Обычный 2 5" xfId="61" xr:uid="{00000000-0005-0000-0000-00003D000000}"/>
    <cellStyle name="Обычный 2 5 2" xfId="62" xr:uid="{00000000-0005-0000-0000-00003E000000}"/>
    <cellStyle name="Обычный 2 6" xfId="63" xr:uid="{00000000-0005-0000-0000-00003F000000}"/>
    <cellStyle name="Обычный 2 7" xfId="64" xr:uid="{00000000-0005-0000-0000-000040000000}"/>
    <cellStyle name="Обычный 3" xfId="65" xr:uid="{00000000-0005-0000-0000-000041000000}"/>
    <cellStyle name="Обычный 3 2" xfId="66" xr:uid="{00000000-0005-0000-0000-000042000000}"/>
    <cellStyle name="Обычный 3 2 2" xfId="67" xr:uid="{00000000-0005-0000-0000-000043000000}"/>
    <cellStyle name="Обычный 3 2 3" xfId="68" xr:uid="{00000000-0005-0000-0000-000044000000}"/>
    <cellStyle name="Обычный 3 3" xfId="69" xr:uid="{00000000-0005-0000-0000-000045000000}"/>
    <cellStyle name="Обычный 3 4" xfId="70" xr:uid="{00000000-0005-0000-0000-000046000000}"/>
    <cellStyle name="Обычный 3 4 2" xfId="71" xr:uid="{00000000-0005-0000-0000-000047000000}"/>
    <cellStyle name="Обычный 3 5" xfId="72" xr:uid="{00000000-0005-0000-0000-000048000000}"/>
    <cellStyle name="Обычный 3 6" xfId="73" xr:uid="{00000000-0005-0000-0000-000049000000}"/>
    <cellStyle name="Обычный 4" xfId="74" xr:uid="{00000000-0005-0000-0000-00004A000000}"/>
    <cellStyle name="Обычный 4 2" xfId="75" xr:uid="{00000000-0005-0000-0000-00004B000000}"/>
    <cellStyle name="Обычный 4 3" xfId="76" xr:uid="{00000000-0005-0000-0000-00004C000000}"/>
    <cellStyle name="Обычный 4 4" xfId="77" xr:uid="{00000000-0005-0000-0000-00004D000000}"/>
    <cellStyle name="Обычный 5" xfId="78" xr:uid="{00000000-0005-0000-0000-00004E000000}"/>
    <cellStyle name="Обычный 5 2" xfId="79" xr:uid="{00000000-0005-0000-0000-00004F000000}"/>
    <cellStyle name="Обычный 5 2 2" xfId="80" xr:uid="{00000000-0005-0000-0000-000050000000}"/>
    <cellStyle name="Обычный 5 3" xfId="81" xr:uid="{00000000-0005-0000-0000-000051000000}"/>
    <cellStyle name="Обычный 6" xfId="82" xr:uid="{00000000-0005-0000-0000-000052000000}"/>
    <cellStyle name="Обычный 6 2" xfId="83" xr:uid="{00000000-0005-0000-0000-000053000000}"/>
    <cellStyle name="Обычный 6 3" xfId="84" xr:uid="{00000000-0005-0000-0000-000054000000}"/>
    <cellStyle name="Обычный 7" xfId="85" xr:uid="{00000000-0005-0000-0000-000055000000}"/>
    <cellStyle name="Обычный 8" xfId="86" xr:uid="{00000000-0005-0000-0000-000056000000}"/>
    <cellStyle name="Обычный 8 2" xfId="87" xr:uid="{00000000-0005-0000-0000-000057000000}"/>
    <cellStyle name="Обычный 9" xfId="88" xr:uid="{00000000-0005-0000-0000-000058000000}"/>
    <cellStyle name="Обычный 9 2" xfId="89" xr:uid="{00000000-0005-0000-0000-000059000000}"/>
    <cellStyle name="Обычный 9 3" xfId="90" xr:uid="{00000000-0005-0000-0000-00005A000000}"/>
    <cellStyle name="Плохой" xfId="91" builtinId="27" customBuiltin="1"/>
    <cellStyle name="Плохой 2" xfId="92" xr:uid="{00000000-0005-0000-0000-00005C000000}"/>
    <cellStyle name="Пояснение" xfId="93" builtinId="53" customBuiltin="1"/>
    <cellStyle name="Пояснение 2" xfId="94" xr:uid="{00000000-0005-0000-0000-00005E000000}"/>
    <cellStyle name="Примечание" xfId="95" builtinId="10" customBuiltin="1"/>
    <cellStyle name="Примечание 2" xfId="96" xr:uid="{00000000-0005-0000-0000-000060000000}"/>
    <cellStyle name="Примечание 3" xfId="97" xr:uid="{00000000-0005-0000-0000-000061000000}"/>
    <cellStyle name="Процентный 2" xfId="98" xr:uid="{00000000-0005-0000-0000-000062000000}"/>
    <cellStyle name="Процентный 2 2" xfId="99" xr:uid="{00000000-0005-0000-0000-000063000000}"/>
    <cellStyle name="Процентный 3" xfId="100" xr:uid="{00000000-0005-0000-0000-000064000000}"/>
    <cellStyle name="Процентный 3 2" xfId="101" xr:uid="{00000000-0005-0000-0000-000065000000}"/>
    <cellStyle name="Связанная ячейка" xfId="102" builtinId="24" customBuiltin="1"/>
    <cellStyle name="Связанная ячейка 2" xfId="103" xr:uid="{00000000-0005-0000-0000-000067000000}"/>
    <cellStyle name="Текст предупреждения" xfId="104" builtinId="11" customBuiltin="1"/>
    <cellStyle name="Текст предупреждения 2" xfId="105" xr:uid="{00000000-0005-0000-0000-000069000000}"/>
    <cellStyle name="Финансовый 2" xfId="106" xr:uid="{00000000-0005-0000-0000-00006A000000}"/>
    <cellStyle name="Финансовый 2 2" xfId="107" xr:uid="{00000000-0005-0000-0000-00006B000000}"/>
    <cellStyle name="Финансовый 3" xfId="108" xr:uid="{00000000-0005-0000-0000-00006C000000}"/>
    <cellStyle name="Хороший" xfId="109" builtinId="26" customBuiltin="1"/>
    <cellStyle name="Хороший 2" xfId="110" xr:uid="{00000000-0005-0000-0000-00006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B07E9-3F6F-4066-A38D-72D74F5BCDA4}">
  <sheetPr>
    <pageSetUpPr fitToPage="1"/>
  </sheetPr>
  <dimension ref="A1:E2894"/>
  <sheetViews>
    <sheetView tabSelected="1" zoomScaleNormal="100" zoomScaleSheetLayoutView="130" workbookViewId="0">
      <selection activeCell="E2884" sqref="E2884"/>
    </sheetView>
  </sheetViews>
  <sheetFormatPr defaultRowHeight="15.75"/>
  <cols>
    <col min="1" max="1" width="7" style="15" bestFit="1" customWidth="1"/>
    <col min="2" max="2" width="159.7109375" style="50" customWidth="1"/>
    <col min="3" max="3" width="17.28515625" style="47" bestFit="1" customWidth="1"/>
    <col min="4" max="4" width="13.140625" style="51" bestFit="1" customWidth="1"/>
    <col min="5" max="5" width="15.5703125" style="48" customWidth="1"/>
    <col min="6" max="16384" width="9.140625" style="9"/>
  </cols>
  <sheetData>
    <row r="1" spans="1:5">
      <c r="A1" s="8" t="s">
        <v>2487</v>
      </c>
      <c r="B1" s="8"/>
      <c r="C1" s="8"/>
      <c r="D1" s="8"/>
      <c r="E1" s="8"/>
    </row>
    <row r="2" spans="1:5" ht="24.75" customHeight="1">
      <c r="A2" s="8"/>
      <c r="B2" s="8"/>
      <c r="C2" s="8"/>
      <c r="D2" s="8"/>
      <c r="E2" s="8"/>
    </row>
    <row r="3" spans="1:5" ht="31.5" customHeight="1">
      <c r="A3" s="10" t="s">
        <v>0</v>
      </c>
      <c r="B3" s="11" t="s">
        <v>24</v>
      </c>
      <c r="C3" s="12" t="s">
        <v>1</v>
      </c>
      <c r="D3" s="13" t="s">
        <v>520</v>
      </c>
      <c r="E3" s="13"/>
    </row>
    <row r="4" spans="1:5" s="15" customFormat="1" ht="28.5">
      <c r="A4" s="10"/>
      <c r="B4" s="11"/>
      <c r="C4" s="12"/>
      <c r="D4" s="14" t="s">
        <v>40</v>
      </c>
      <c r="E4" s="14" t="s">
        <v>41</v>
      </c>
    </row>
    <row r="5" spans="1:5" s="16" customFormat="1">
      <c r="A5" s="4" t="s">
        <v>45</v>
      </c>
      <c r="B5" s="4"/>
      <c r="C5" s="4"/>
      <c r="D5" s="4"/>
      <c r="E5" s="4"/>
    </row>
    <row r="6" spans="1:5" s="16" customFormat="1">
      <c r="A6" s="17">
        <v>1</v>
      </c>
      <c r="B6" s="18" t="s">
        <v>1933</v>
      </c>
      <c r="C6" s="19">
        <v>2810202210143</v>
      </c>
      <c r="D6" s="20">
        <f>1086689069.82/1000</f>
        <v>1086689.0698199999</v>
      </c>
      <c r="E6" s="20"/>
    </row>
    <row r="7" spans="1:5" s="16" customFormat="1">
      <c r="A7" s="17">
        <v>2</v>
      </c>
      <c r="B7" s="18" t="s">
        <v>2727</v>
      </c>
      <c r="C7" s="19">
        <v>1803199710028</v>
      </c>
      <c r="D7" s="20">
        <f>575324064.95/1000</f>
        <v>575324.06495000003</v>
      </c>
      <c r="E7" s="20"/>
    </row>
    <row r="8" spans="1:5" s="16" customFormat="1">
      <c r="A8" s="17">
        <v>3</v>
      </c>
      <c r="B8" s="18" t="s">
        <v>464</v>
      </c>
      <c r="C8" s="19">
        <v>412201710078</v>
      </c>
      <c r="D8" s="20">
        <f>456188161.31/1000</f>
        <v>456188.16131</v>
      </c>
      <c r="E8" s="20"/>
    </row>
    <row r="9" spans="1:5" s="16" customFormat="1">
      <c r="A9" s="17">
        <v>4</v>
      </c>
      <c r="B9" s="18" t="s">
        <v>501</v>
      </c>
      <c r="C9" s="19">
        <v>2012201210156</v>
      </c>
      <c r="D9" s="20">
        <f>387105161.02/1000</f>
        <v>387105.16102</v>
      </c>
      <c r="E9" s="20"/>
    </row>
    <row r="10" spans="1:5" s="16" customFormat="1">
      <c r="A10" s="17">
        <v>5</v>
      </c>
      <c r="B10" s="18" t="s">
        <v>94</v>
      </c>
      <c r="C10" s="19">
        <v>2901201810396</v>
      </c>
      <c r="D10" s="20">
        <f>375258903.98/1000</f>
        <v>375258.90398</v>
      </c>
      <c r="E10" s="20"/>
    </row>
    <row r="11" spans="1:5" s="16" customFormat="1">
      <c r="A11" s="17">
        <v>6</v>
      </c>
      <c r="B11" s="18" t="s">
        <v>95</v>
      </c>
      <c r="C11" s="19">
        <v>310201610386</v>
      </c>
      <c r="D11" s="20">
        <f>260191259.25/1000</f>
        <v>260191.25925</v>
      </c>
      <c r="E11" s="20"/>
    </row>
    <row r="12" spans="1:5" s="16" customFormat="1">
      <c r="A12" s="17">
        <v>7</v>
      </c>
      <c r="B12" s="18" t="s">
        <v>2728</v>
      </c>
      <c r="C12" s="19">
        <v>1703202210472</v>
      </c>
      <c r="D12" s="20">
        <f>206092735.14/1000</f>
        <v>206092.73513999998</v>
      </c>
      <c r="E12" s="20"/>
    </row>
    <row r="13" spans="1:5" s="16" customFormat="1">
      <c r="A13" s="17">
        <v>8</v>
      </c>
      <c r="B13" s="18" t="s">
        <v>1934</v>
      </c>
      <c r="C13" s="19">
        <v>207201810156</v>
      </c>
      <c r="D13" s="20">
        <f>171022467.54/1000</f>
        <v>171022.46753999998</v>
      </c>
      <c r="E13" s="20"/>
    </row>
    <row r="14" spans="1:5" s="16" customFormat="1">
      <c r="A14" s="17">
        <v>9</v>
      </c>
      <c r="B14" s="18" t="s">
        <v>537</v>
      </c>
      <c r="C14" s="19">
        <v>303201410097</v>
      </c>
      <c r="D14" s="20">
        <f>151525892/1000</f>
        <v>151525.89199999999</v>
      </c>
      <c r="E14" s="20"/>
    </row>
    <row r="15" spans="1:5" s="16" customFormat="1">
      <c r="A15" s="17">
        <v>10</v>
      </c>
      <c r="B15" s="18" t="s">
        <v>2723</v>
      </c>
      <c r="C15" s="19">
        <v>907200810097</v>
      </c>
      <c r="D15" s="20">
        <f>133062425/1000</f>
        <v>133062.42499999999</v>
      </c>
      <c r="E15" s="20"/>
    </row>
    <row r="16" spans="1:5" s="16" customFormat="1">
      <c r="A16" s="17">
        <v>11</v>
      </c>
      <c r="B16" s="18" t="s">
        <v>1935</v>
      </c>
      <c r="C16" s="19">
        <v>3005202310242</v>
      </c>
      <c r="D16" s="20">
        <f>128644639.93/1000</f>
        <v>128644.63993</v>
      </c>
      <c r="E16" s="20"/>
    </row>
    <row r="17" spans="1:5" s="16" customFormat="1">
      <c r="A17" s="17">
        <v>12</v>
      </c>
      <c r="B17" s="18" t="s">
        <v>2729</v>
      </c>
      <c r="C17" s="19">
        <v>2511200410024</v>
      </c>
      <c r="D17" s="20">
        <f>113485694/1000</f>
        <v>113485.694</v>
      </c>
      <c r="E17" s="20"/>
    </row>
    <row r="18" spans="1:5" s="16" customFormat="1">
      <c r="A18" s="17">
        <v>13</v>
      </c>
      <c r="B18" s="18" t="s">
        <v>490</v>
      </c>
      <c r="C18" s="19">
        <v>2412201010176</v>
      </c>
      <c r="D18" s="20">
        <f>104967900.08/1000</f>
        <v>104967.90007999999</v>
      </c>
      <c r="E18" s="20"/>
    </row>
    <row r="19" spans="1:5" s="16" customFormat="1">
      <c r="A19" s="17">
        <v>14</v>
      </c>
      <c r="B19" s="18" t="s">
        <v>651</v>
      </c>
      <c r="C19" s="19">
        <v>1312201810075</v>
      </c>
      <c r="D19" s="20">
        <f>102346426.54/1000</f>
        <v>102346.42654</v>
      </c>
      <c r="E19" s="20"/>
    </row>
    <row r="20" spans="1:5" s="16" customFormat="1">
      <c r="A20" s="17">
        <v>15</v>
      </c>
      <c r="B20" s="18" t="s">
        <v>469</v>
      </c>
      <c r="C20" s="19">
        <v>1612201010052</v>
      </c>
      <c r="D20" s="20">
        <f>85081163.89/1000</f>
        <v>85081.163889999996</v>
      </c>
      <c r="E20" s="20"/>
    </row>
    <row r="21" spans="1:5" s="16" customFormat="1">
      <c r="A21" s="17">
        <v>16</v>
      </c>
      <c r="B21" s="18" t="s">
        <v>97</v>
      </c>
      <c r="C21" s="19">
        <v>3101201310091</v>
      </c>
      <c r="D21" s="20">
        <f>82487066.21/1000</f>
        <v>82487.06620999999</v>
      </c>
      <c r="E21" s="20"/>
    </row>
    <row r="22" spans="1:5" s="16" customFormat="1">
      <c r="A22" s="17">
        <v>17</v>
      </c>
      <c r="B22" s="18" t="s">
        <v>447</v>
      </c>
      <c r="C22" s="19">
        <v>2012201210169</v>
      </c>
      <c r="D22" s="20">
        <f>80938075.42/1000</f>
        <v>80938.075420000008</v>
      </c>
      <c r="E22" s="20"/>
    </row>
    <row r="23" spans="1:5" s="16" customFormat="1">
      <c r="A23" s="17">
        <v>18</v>
      </c>
      <c r="B23" s="18" t="s">
        <v>98</v>
      </c>
      <c r="C23" s="19">
        <v>106200910249</v>
      </c>
      <c r="D23" s="20">
        <f>68495899.72/1000</f>
        <v>68495.899720000001</v>
      </c>
      <c r="E23" s="20"/>
    </row>
    <row r="24" spans="1:5" s="16" customFormat="1">
      <c r="A24" s="17">
        <v>19</v>
      </c>
      <c r="B24" s="18" t="s">
        <v>99</v>
      </c>
      <c r="C24" s="19">
        <v>2805201510010</v>
      </c>
      <c r="D24" s="20">
        <f>68416740.26/1000</f>
        <v>68416.740260000006</v>
      </c>
      <c r="E24" s="20"/>
    </row>
    <row r="25" spans="1:5" s="16" customFormat="1">
      <c r="A25" s="17">
        <v>20</v>
      </c>
      <c r="B25" s="18" t="s">
        <v>515</v>
      </c>
      <c r="C25" s="19">
        <v>2809201210156</v>
      </c>
      <c r="D25" s="20">
        <f>66281749.39/1000</f>
        <v>66281.749389999997</v>
      </c>
      <c r="E25" s="20"/>
    </row>
    <row r="26" spans="1:5" s="16" customFormat="1">
      <c r="A26" s="17">
        <v>21</v>
      </c>
      <c r="B26" s="18" t="s">
        <v>455</v>
      </c>
      <c r="C26" s="19">
        <v>2701201210068</v>
      </c>
      <c r="D26" s="20">
        <f>59772747.6/1000</f>
        <v>59772.747600000002</v>
      </c>
      <c r="E26" s="20"/>
    </row>
    <row r="27" spans="1:5" s="16" customFormat="1">
      <c r="A27" s="17">
        <v>22</v>
      </c>
      <c r="B27" s="18" t="s">
        <v>2730</v>
      </c>
      <c r="C27" s="19">
        <v>2401200710200</v>
      </c>
      <c r="D27" s="20">
        <f>57361909.5/1000</f>
        <v>57361.909500000002</v>
      </c>
      <c r="E27" s="20"/>
    </row>
    <row r="28" spans="1:5" s="16" customFormat="1">
      <c r="A28" s="17">
        <v>23</v>
      </c>
      <c r="B28" s="18" t="s">
        <v>2731</v>
      </c>
      <c r="C28" s="19">
        <v>2703200710366</v>
      </c>
      <c r="D28" s="20">
        <f>54793598/1000</f>
        <v>54793.597999999998</v>
      </c>
      <c r="E28" s="20"/>
    </row>
    <row r="29" spans="1:5" s="16" customFormat="1">
      <c r="A29" s="17">
        <v>24</v>
      </c>
      <c r="B29" s="18" t="s">
        <v>2724</v>
      </c>
      <c r="C29" s="19">
        <v>1004200310189</v>
      </c>
      <c r="D29" s="20">
        <f>48773672.79/1000</f>
        <v>48773.672789999997</v>
      </c>
      <c r="E29" s="20"/>
    </row>
    <row r="30" spans="1:5" s="16" customFormat="1">
      <c r="A30" s="17">
        <v>25</v>
      </c>
      <c r="B30" s="18" t="s">
        <v>2725</v>
      </c>
      <c r="C30" s="19">
        <v>2110201010092</v>
      </c>
      <c r="D30" s="20">
        <f>46616835.74/1000</f>
        <v>46616.835740000002</v>
      </c>
      <c r="E30" s="20"/>
    </row>
    <row r="31" spans="1:5" s="16" customFormat="1">
      <c r="A31" s="17">
        <v>26</v>
      </c>
      <c r="B31" s="18" t="s">
        <v>100</v>
      </c>
      <c r="C31" s="19">
        <v>1702201710119</v>
      </c>
      <c r="D31" s="20">
        <f>42848192/1000</f>
        <v>42848.192000000003</v>
      </c>
      <c r="E31" s="20"/>
    </row>
    <row r="32" spans="1:5" s="16" customFormat="1">
      <c r="A32" s="17">
        <v>27</v>
      </c>
      <c r="B32" s="18" t="s">
        <v>2734</v>
      </c>
      <c r="C32" s="19">
        <v>1203200910018</v>
      </c>
      <c r="D32" s="20">
        <f>41353846.15/1000</f>
        <v>41353.846149999998</v>
      </c>
      <c r="E32" s="20"/>
    </row>
    <row r="33" spans="1:5" s="16" customFormat="1">
      <c r="A33" s="17">
        <v>28</v>
      </c>
      <c r="B33" s="18" t="s">
        <v>462</v>
      </c>
      <c r="C33" s="19">
        <v>2409201310214</v>
      </c>
      <c r="D33" s="20">
        <f>39029838.38/1000</f>
        <v>39029.838380000001</v>
      </c>
      <c r="E33" s="20"/>
    </row>
    <row r="34" spans="1:5" s="16" customFormat="1">
      <c r="A34" s="17">
        <v>29</v>
      </c>
      <c r="B34" s="18" t="s">
        <v>1587</v>
      </c>
      <c r="C34" s="19">
        <v>808202210361</v>
      </c>
      <c r="D34" s="20">
        <f>38498380.48/1000</f>
        <v>38498.38048</v>
      </c>
      <c r="E34" s="20"/>
    </row>
    <row r="35" spans="1:5" s="16" customFormat="1">
      <c r="A35" s="17">
        <v>30</v>
      </c>
      <c r="B35" s="18" t="s">
        <v>101</v>
      </c>
      <c r="C35" s="19">
        <v>20806197500726</v>
      </c>
      <c r="D35" s="20">
        <f>38192681.6/1000</f>
        <v>38192.681600000004</v>
      </c>
      <c r="E35" s="20"/>
    </row>
    <row r="36" spans="1:5" s="16" customFormat="1">
      <c r="A36" s="17">
        <v>31</v>
      </c>
      <c r="B36" s="18" t="s">
        <v>2726</v>
      </c>
      <c r="C36" s="19">
        <v>2807200610180</v>
      </c>
      <c r="D36" s="20">
        <f>37415750/1000</f>
        <v>37415.75</v>
      </c>
      <c r="E36" s="20"/>
    </row>
    <row r="37" spans="1:5" s="16" customFormat="1">
      <c r="A37" s="17">
        <v>32</v>
      </c>
      <c r="B37" s="18" t="s">
        <v>507</v>
      </c>
      <c r="C37" s="19">
        <v>906201410028</v>
      </c>
      <c r="D37" s="20">
        <f>36878857.31/1000</f>
        <v>36878.857309999999</v>
      </c>
      <c r="E37" s="20"/>
    </row>
    <row r="38" spans="1:5" s="16" customFormat="1">
      <c r="A38" s="17">
        <v>33</v>
      </c>
      <c r="B38" s="18" t="s">
        <v>2732</v>
      </c>
      <c r="C38" s="19">
        <v>910200810058</v>
      </c>
      <c r="D38" s="20">
        <f>36838366/1000</f>
        <v>36838.366000000002</v>
      </c>
      <c r="E38" s="20"/>
    </row>
    <row r="39" spans="1:5" s="16" customFormat="1">
      <c r="A39" s="17">
        <v>34</v>
      </c>
      <c r="B39" s="18" t="s">
        <v>102</v>
      </c>
      <c r="C39" s="19">
        <v>2309201510103</v>
      </c>
      <c r="D39" s="20">
        <f>36360679.76/1000</f>
        <v>36360.679759999999</v>
      </c>
      <c r="E39" s="20"/>
    </row>
    <row r="40" spans="1:5" s="16" customFormat="1">
      <c r="A40" s="17">
        <v>35</v>
      </c>
      <c r="B40" s="18" t="s">
        <v>103</v>
      </c>
      <c r="C40" s="19">
        <v>2812201210122</v>
      </c>
      <c r="D40" s="20">
        <f>36051817.93/1000</f>
        <v>36051.817929999997</v>
      </c>
      <c r="E40" s="20"/>
    </row>
    <row r="41" spans="1:5" s="16" customFormat="1">
      <c r="A41" s="17">
        <v>36</v>
      </c>
      <c r="B41" s="18" t="s">
        <v>104</v>
      </c>
      <c r="C41" s="19">
        <v>2905200610067</v>
      </c>
      <c r="D41" s="20">
        <f>35157642.51/1000</f>
        <v>35157.642509999998</v>
      </c>
      <c r="E41" s="20"/>
    </row>
    <row r="42" spans="1:5" s="16" customFormat="1">
      <c r="A42" s="17">
        <v>37</v>
      </c>
      <c r="B42" s="18" t="s">
        <v>96</v>
      </c>
      <c r="C42" s="19">
        <v>108201310172</v>
      </c>
      <c r="D42" s="20">
        <f>35030023.79/1000</f>
        <v>35030.023789999999</v>
      </c>
      <c r="E42" s="20"/>
    </row>
    <row r="43" spans="1:5" s="16" customFormat="1">
      <c r="A43" s="17">
        <v>38</v>
      </c>
      <c r="B43" s="18" t="s">
        <v>511</v>
      </c>
      <c r="C43" s="19">
        <v>212201310013</v>
      </c>
      <c r="D43" s="20">
        <f>34432726/1000</f>
        <v>34432.726000000002</v>
      </c>
      <c r="E43" s="20"/>
    </row>
    <row r="44" spans="1:5" s="16" customFormat="1">
      <c r="A44" s="17">
        <v>39</v>
      </c>
      <c r="B44" s="18" t="s">
        <v>2733</v>
      </c>
      <c r="C44" s="19">
        <v>1203200810254</v>
      </c>
      <c r="D44" s="20">
        <f>33138119/1000</f>
        <v>33138.118999999999</v>
      </c>
      <c r="E44" s="20"/>
    </row>
    <row r="45" spans="1:5" s="16" customFormat="1">
      <c r="A45" s="17">
        <v>40</v>
      </c>
      <c r="B45" s="18" t="s">
        <v>2740</v>
      </c>
      <c r="C45" s="19">
        <v>810201510249</v>
      </c>
      <c r="D45" s="20">
        <f>32179764.03/1000</f>
        <v>32179.764030000002</v>
      </c>
      <c r="E45" s="20"/>
    </row>
    <row r="46" spans="1:5" s="16" customFormat="1">
      <c r="A46" s="17">
        <v>41</v>
      </c>
      <c r="B46" s="18" t="s">
        <v>105</v>
      </c>
      <c r="C46" s="19">
        <v>2412201010020</v>
      </c>
      <c r="D46" s="20">
        <f>30682352/1000</f>
        <v>30682.351999999999</v>
      </c>
      <c r="E46" s="20"/>
    </row>
    <row r="47" spans="1:5" s="16" customFormat="1">
      <c r="A47" s="17">
        <v>42</v>
      </c>
      <c r="B47" s="18" t="s">
        <v>107</v>
      </c>
      <c r="C47" s="19">
        <v>2106201610169</v>
      </c>
      <c r="D47" s="20">
        <f>29941676.93/1000</f>
        <v>29941.676930000001</v>
      </c>
      <c r="E47" s="20">
        <v>635.79999999999995</v>
      </c>
    </row>
    <row r="48" spans="1:5" s="16" customFormat="1">
      <c r="A48" s="17">
        <v>43</v>
      </c>
      <c r="B48" s="18" t="s">
        <v>106</v>
      </c>
      <c r="C48" s="19">
        <v>2705201010057</v>
      </c>
      <c r="D48" s="20">
        <f>29387422.94/1000</f>
        <v>29387.42294</v>
      </c>
      <c r="E48" s="20"/>
    </row>
    <row r="49" spans="1:5" s="16" customFormat="1">
      <c r="A49" s="17">
        <v>44</v>
      </c>
      <c r="B49" s="18" t="s">
        <v>466</v>
      </c>
      <c r="C49" s="19">
        <v>2412201010224</v>
      </c>
      <c r="D49" s="20">
        <f>28038029.5/1000</f>
        <v>28038.029500000001</v>
      </c>
      <c r="E49" s="20"/>
    </row>
    <row r="50" spans="1:5" s="16" customFormat="1">
      <c r="A50" s="17">
        <v>45</v>
      </c>
      <c r="B50" s="18" t="s">
        <v>2735</v>
      </c>
      <c r="C50" s="19">
        <v>907200710325</v>
      </c>
      <c r="D50" s="20">
        <f>27864005/1000</f>
        <v>27864.005000000001</v>
      </c>
      <c r="E50" s="20"/>
    </row>
    <row r="51" spans="1:5" s="16" customFormat="1">
      <c r="A51" s="17">
        <v>46</v>
      </c>
      <c r="B51" s="18" t="s">
        <v>2736</v>
      </c>
      <c r="C51" s="19">
        <v>1705201010042</v>
      </c>
      <c r="D51" s="20">
        <f>27061595.54/1000</f>
        <v>27061.595539999998</v>
      </c>
      <c r="E51" s="20"/>
    </row>
    <row r="52" spans="1:5" s="16" customFormat="1">
      <c r="A52" s="17">
        <v>47</v>
      </c>
      <c r="B52" s="18" t="s">
        <v>2737</v>
      </c>
      <c r="C52" s="19">
        <v>601200610041</v>
      </c>
      <c r="D52" s="20">
        <f>26330276/1000</f>
        <v>26330.276000000002</v>
      </c>
      <c r="E52" s="20"/>
    </row>
    <row r="53" spans="1:5" s="16" customFormat="1">
      <c r="A53" s="17">
        <v>48</v>
      </c>
      <c r="B53" s="18" t="s">
        <v>787</v>
      </c>
      <c r="C53" s="19">
        <v>1507201410051</v>
      </c>
      <c r="D53" s="20">
        <f>24581224.28/1000</f>
        <v>24581.224280000002</v>
      </c>
      <c r="E53" s="20"/>
    </row>
    <row r="54" spans="1:5" s="16" customFormat="1">
      <c r="A54" s="17">
        <v>49</v>
      </c>
      <c r="B54" s="18" t="s">
        <v>108</v>
      </c>
      <c r="C54" s="19">
        <v>22204199201926</v>
      </c>
      <c r="D54" s="20">
        <f>24065776/1000</f>
        <v>24065.776000000002</v>
      </c>
      <c r="E54" s="20"/>
    </row>
    <row r="55" spans="1:5" s="16" customFormat="1">
      <c r="A55" s="17">
        <v>50</v>
      </c>
      <c r="B55" s="18" t="s">
        <v>2738</v>
      </c>
      <c r="C55" s="19">
        <v>1104200210012</v>
      </c>
      <c r="D55" s="20">
        <f>23921606.5/1000</f>
        <v>23921.606500000002</v>
      </c>
      <c r="E55" s="20"/>
    </row>
    <row r="56" spans="1:5" s="16" customFormat="1">
      <c r="A56" s="17">
        <v>51</v>
      </c>
      <c r="B56" s="18" t="s">
        <v>456</v>
      </c>
      <c r="C56" s="19">
        <v>1311200910254</v>
      </c>
      <c r="D56" s="20">
        <f>23668653.81/1000</f>
        <v>23668.65381</v>
      </c>
      <c r="E56" s="20"/>
    </row>
    <row r="57" spans="1:5" s="16" customFormat="1">
      <c r="A57" s="17">
        <v>52</v>
      </c>
      <c r="B57" s="18" t="s">
        <v>457</v>
      </c>
      <c r="C57" s="19">
        <v>1212201210121</v>
      </c>
      <c r="D57" s="20">
        <f>22887030.04/1000</f>
        <v>22887.030039999998</v>
      </c>
      <c r="E57" s="20"/>
    </row>
    <row r="58" spans="1:5" s="16" customFormat="1">
      <c r="A58" s="17">
        <v>53</v>
      </c>
      <c r="B58" s="18" t="s">
        <v>503</v>
      </c>
      <c r="C58" s="19">
        <v>2702201810113</v>
      </c>
      <c r="D58" s="20">
        <f>22719955.82/1000</f>
        <v>22719.955819999999</v>
      </c>
      <c r="E58" s="20"/>
    </row>
    <row r="59" spans="1:5" s="16" customFormat="1">
      <c r="A59" s="17">
        <v>54</v>
      </c>
      <c r="B59" s="18" t="s">
        <v>2739</v>
      </c>
      <c r="C59" s="19">
        <v>1510200710178</v>
      </c>
      <c r="D59" s="20">
        <f>21963879/1000</f>
        <v>21963.879000000001</v>
      </c>
      <c r="E59" s="20"/>
    </row>
    <row r="60" spans="1:5" s="16" customFormat="1">
      <c r="A60" s="17">
        <v>55</v>
      </c>
      <c r="B60" s="18" t="s">
        <v>488</v>
      </c>
      <c r="C60" s="19">
        <v>1705201110168</v>
      </c>
      <c r="D60" s="20">
        <f>21364412/1000</f>
        <v>21364.412</v>
      </c>
      <c r="E60" s="20"/>
    </row>
    <row r="61" spans="1:5" s="16" customFormat="1">
      <c r="A61" s="17">
        <v>56</v>
      </c>
      <c r="B61" s="18" t="s">
        <v>110</v>
      </c>
      <c r="C61" s="19">
        <v>20910198301270</v>
      </c>
      <c r="D61" s="20">
        <f>19580002.2/1000</f>
        <v>19580.002199999999</v>
      </c>
      <c r="E61" s="20"/>
    </row>
    <row r="62" spans="1:5" s="16" customFormat="1">
      <c r="A62" s="17">
        <v>57</v>
      </c>
      <c r="B62" s="18" t="s">
        <v>109</v>
      </c>
      <c r="C62" s="19">
        <v>21110198300864</v>
      </c>
      <c r="D62" s="20">
        <f>18929062/1000</f>
        <v>18929.062000000002</v>
      </c>
      <c r="E62" s="20"/>
    </row>
    <row r="63" spans="1:5" s="16" customFormat="1">
      <c r="A63" s="17">
        <v>58</v>
      </c>
      <c r="B63" s="18" t="s">
        <v>2746</v>
      </c>
      <c r="C63" s="19">
        <v>810201510251</v>
      </c>
      <c r="D63" s="20">
        <f>18803643.92/1000</f>
        <v>18803.643920000002</v>
      </c>
      <c r="E63" s="20"/>
    </row>
    <row r="64" spans="1:5" s="16" customFormat="1">
      <c r="A64" s="17">
        <v>59</v>
      </c>
      <c r="B64" s="18" t="s">
        <v>471</v>
      </c>
      <c r="C64" s="19">
        <v>1104201610127</v>
      </c>
      <c r="D64" s="20">
        <f>18551752/1000</f>
        <v>18551.752</v>
      </c>
      <c r="E64" s="20"/>
    </row>
    <row r="65" spans="1:5" s="16" customFormat="1">
      <c r="A65" s="17">
        <v>60</v>
      </c>
      <c r="B65" s="18" t="s">
        <v>1936</v>
      </c>
      <c r="C65" s="19">
        <v>1807202210124</v>
      </c>
      <c r="D65" s="20">
        <f>18515157.3/1000</f>
        <v>18515.157299999999</v>
      </c>
      <c r="E65" s="20"/>
    </row>
    <row r="66" spans="1:5" s="16" customFormat="1">
      <c r="A66" s="17">
        <v>61</v>
      </c>
      <c r="B66" s="18" t="s">
        <v>190</v>
      </c>
      <c r="C66" s="19">
        <v>306201610219</v>
      </c>
      <c r="D66" s="20">
        <f>18083004.47/1000</f>
        <v>18083.00447</v>
      </c>
      <c r="E66" s="20">
        <v>3637.7</v>
      </c>
    </row>
    <row r="67" spans="1:5" s="16" customFormat="1">
      <c r="A67" s="17">
        <v>62</v>
      </c>
      <c r="B67" s="18" t="s">
        <v>481</v>
      </c>
      <c r="C67" s="19">
        <v>304201410022</v>
      </c>
      <c r="D67" s="20">
        <f>16647483.4/1000</f>
        <v>16647.483400000001</v>
      </c>
      <c r="E67" s="20"/>
    </row>
    <row r="68" spans="1:5" s="16" customFormat="1">
      <c r="A68" s="17">
        <v>63</v>
      </c>
      <c r="B68" s="18" t="s">
        <v>2747</v>
      </c>
      <c r="C68" s="19">
        <v>1702201210236</v>
      </c>
      <c r="D68" s="20">
        <f>16346616.87/1000</f>
        <v>16346.61687</v>
      </c>
      <c r="E68" s="20"/>
    </row>
    <row r="69" spans="1:5" s="16" customFormat="1">
      <c r="A69" s="17">
        <v>64</v>
      </c>
      <c r="B69" s="18" t="s">
        <v>576</v>
      </c>
      <c r="C69" s="19">
        <v>1405202010171</v>
      </c>
      <c r="D69" s="20">
        <f>15793824/1000</f>
        <v>15793.824000000001</v>
      </c>
      <c r="E69" s="20"/>
    </row>
    <row r="70" spans="1:5" s="16" customFormat="1">
      <c r="A70" s="17">
        <v>65</v>
      </c>
      <c r="B70" s="18" t="s">
        <v>113</v>
      </c>
      <c r="C70" s="19">
        <v>20106198200084</v>
      </c>
      <c r="D70" s="20">
        <f>15369393.81/1000</f>
        <v>15369.393810000001</v>
      </c>
      <c r="E70" s="20"/>
    </row>
    <row r="71" spans="1:5" s="16" customFormat="1">
      <c r="A71" s="17">
        <v>66</v>
      </c>
      <c r="B71" s="18" t="s">
        <v>495</v>
      </c>
      <c r="C71" s="19">
        <v>2701201210164</v>
      </c>
      <c r="D71" s="20">
        <f>15251828.68/1000</f>
        <v>15251.828680000001</v>
      </c>
      <c r="E71" s="20"/>
    </row>
    <row r="72" spans="1:5" s="16" customFormat="1">
      <c r="A72" s="17">
        <v>67</v>
      </c>
      <c r="B72" s="18" t="s">
        <v>111</v>
      </c>
      <c r="C72" s="19">
        <v>22809196600417</v>
      </c>
      <c r="D72" s="20">
        <f>15029092/1000</f>
        <v>15029.092000000001</v>
      </c>
      <c r="E72" s="20"/>
    </row>
    <row r="73" spans="1:5" s="16" customFormat="1">
      <c r="A73" s="17">
        <v>68</v>
      </c>
      <c r="B73" s="18" t="s">
        <v>2393</v>
      </c>
      <c r="C73" s="19">
        <v>1312201810151</v>
      </c>
      <c r="D73" s="20">
        <f>14525628.25/1000</f>
        <v>14525.62825</v>
      </c>
      <c r="E73" s="20"/>
    </row>
    <row r="74" spans="1:5" s="16" customFormat="1">
      <c r="A74" s="17">
        <v>69</v>
      </c>
      <c r="B74" s="18" t="s">
        <v>465</v>
      </c>
      <c r="C74" s="19">
        <v>510200910037</v>
      </c>
      <c r="D74" s="20">
        <f>13901711.67/1000</f>
        <v>13901.711670000001</v>
      </c>
      <c r="E74" s="20"/>
    </row>
    <row r="75" spans="1:5" s="16" customFormat="1">
      <c r="A75" s="17">
        <v>70</v>
      </c>
      <c r="B75" s="18" t="s">
        <v>513</v>
      </c>
      <c r="C75" s="19">
        <v>308201010069</v>
      </c>
      <c r="D75" s="20">
        <f>13920768.83/1000</f>
        <v>13920.768830000001</v>
      </c>
      <c r="E75" s="20"/>
    </row>
    <row r="76" spans="1:5" s="16" customFormat="1">
      <c r="A76" s="17">
        <v>71</v>
      </c>
      <c r="B76" s="18" t="s">
        <v>479</v>
      </c>
      <c r="C76" s="19">
        <v>1601201910264</v>
      </c>
      <c r="D76" s="20">
        <f>13664658.28/1000</f>
        <v>13664.65828</v>
      </c>
      <c r="E76" s="20"/>
    </row>
    <row r="77" spans="1:5" s="16" customFormat="1">
      <c r="A77" s="17">
        <v>72</v>
      </c>
      <c r="B77" s="18" t="s">
        <v>1588</v>
      </c>
      <c r="C77" s="19">
        <v>22005199602029</v>
      </c>
      <c r="D77" s="20">
        <f>12555407.58/1000</f>
        <v>12555.407580000001</v>
      </c>
      <c r="E77" s="20"/>
    </row>
    <row r="78" spans="1:5" s="16" customFormat="1">
      <c r="A78" s="17">
        <v>73</v>
      </c>
      <c r="B78" s="18" t="s">
        <v>2748</v>
      </c>
      <c r="C78" s="19">
        <v>2306200810046</v>
      </c>
      <c r="D78" s="20">
        <f>12232720.81/1000</f>
        <v>12232.720810000001</v>
      </c>
      <c r="E78" s="20"/>
    </row>
    <row r="79" spans="1:5" s="16" customFormat="1">
      <c r="A79" s="17">
        <v>74</v>
      </c>
      <c r="B79" s="18" t="s">
        <v>118</v>
      </c>
      <c r="C79" s="19">
        <v>21902197300168</v>
      </c>
      <c r="D79" s="20">
        <f>11694725.34/1000</f>
        <v>11694.725339999999</v>
      </c>
      <c r="E79" s="20"/>
    </row>
    <row r="80" spans="1:5" s="16" customFormat="1">
      <c r="A80" s="17">
        <v>75</v>
      </c>
      <c r="B80" s="18" t="s">
        <v>1679</v>
      </c>
      <c r="C80" s="19">
        <v>2705201910254</v>
      </c>
      <c r="D80" s="20">
        <f>11416743.43/1000</f>
        <v>11416.74343</v>
      </c>
      <c r="E80" s="20"/>
    </row>
    <row r="81" spans="1:5" s="16" customFormat="1">
      <c r="A81" s="17">
        <v>76</v>
      </c>
      <c r="B81" s="18" t="s">
        <v>2741</v>
      </c>
      <c r="C81" s="19">
        <v>2906201810256</v>
      </c>
      <c r="D81" s="20">
        <f>11425462.5/1000</f>
        <v>11425.4625</v>
      </c>
      <c r="E81" s="20"/>
    </row>
    <row r="82" spans="1:5" s="16" customFormat="1">
      <c r="A82" s="17">
        <v>77</v>
      </c>
      <c r="B82" s="18" t="s">
        <v>453</v>
      </c>
      <c r="C82" s="19">
        <v>2702201310208</v>
      </c>
      <c r="D82" s="20">
        <f>11136231.98/1000</f>
        <v>11136.23198</v>
      </c>
      <c r="E82" s="20"/>
    </row>
    <row r="83" spans="1:5" s="16" customFormat="1">
      <c r="A83" s="17">
        <v>78</v>
      </c>
      <c r="B83" s="18" t="s">
        <v>121</v>
      </c>
      <c r="C83" s="19">
        <v>3003202110043</v>
      </c>
      <c r="D83" s="20">
        <f>10662221.67/1000</f>
        <v>10662.221670000001</v>
      </c>
      <c r="E83" s="20"/>
    </row>
    <row r="84" spans="1:5" s="16" customFormat="1">
      <c r="A84" s="17">
        <v>79</v>
      </c>
      <c r="B84" s="18" t="s">
        <v>114</v>
      </c>
      <c r="C84" s="19">
        <v>2104201110156</v>
      </c>
      <c r="D84" s="20">
        <f>10587282.41/1000</f>
        <v>10587.28241</v>
      </c>
      <c r="E84" s="20"/>
    </row>
    <row r="85" spans="1:5" s="16" customFormat="1">
      <c r="A85" s="17">
        <v>80</v>
      </c>
      <c r="B85" s="18" t="s">
        <v>115</v>
      </c>
      <c r="C85" s="19">
        <v>22003199301443</v>
      </c>
      <c r="D85" s="20">
        <f>10571520/1000</f>
        <v>10571.52</v>
      </c>
      <c r="E85" s="20"/>
    </row>
    <row r="86" spans="1:5" s="16" customFormat="1">
      <c r="A86" s="17">
        <v>81</v>
      </c>
      <c r="B86" s="18" t="s">
        <v>116</v>
      </c>
      <c r="C86" s="19">
        <v>2702201810096</v>
      </c>
      <c r="D86" s="20">
        <f>10560835/1000</f>
        <v>10560.834999999999</v>
      </c>
      <c r="E86" s="20"/>
    </row>
    <row r="87" spans="1:5" s="16" customFormat="1">
      <c r="A87" s="17">
        <v>82</v>
      </c>
      <c r="B87" s="18" t="s">
        <v>1937</v>
      </c>
      <c r="C87" s="19">
        <v>2212201010038</v>
      </c>
      <c r="D87" s="20">
        <f>10372606.93/1000</f>
        <v>10372.60693</v>
      </c>
      <c r="E87" s="20"/>
    </row>
    <row r="88" spans="1:5" s="16" customFormat="1">
      <c r="A88" s="17">
        <v>83</v>
      </c>
      <c r="B88" s="18" t="s">
        <v>538</v>
      </c>
      <c r="C88" s="19">
        <v>10608196500710</v>
      </c>
      <c r="D88" s="20">
        <f>10206488/1000</f>
        <v>10206.487999999999</v>
      </c>
      <c r="E88" s="20"/>
    </row>
    <row r="89" spans="1:5" s="16" customFormat="1">
      <c r="A89" s="17">
        <v>84</v>
      </c>
      <c r="B89" s="18" t="s">
        <v>1680</v>
      </c>
      <c r="C89" s="19">
        <v>3012200910069</v>
      </c>
      <c r="D89" s="20">
        <f>10171708.23/1000</f>
        <v>10171.70823</v>
      </c>
      <c r="E89" s="20"/>
    </row>
    <row r="90" spans="1:5" s="16" customFormat="1">
      <c r="A90" s="17">
        <v>85</v>
      </c>
      <c r="B90" s="18" t="s">
        <v>444</v>
      </c>
      <c r="C90" s="19">
        <v>22302199701944</v>
      </c>
      <c r="D90" s="20">
        <f>10070000/1000</f>
        <v>10070</v>
      </c>
      <c r="E90" s="20"/>
    </row>
    <row r="91" spans="1:5" s="16" customFormat="1">
      <c r="A91" s="17">
        <v>86</v>
      </c>
      <c r="B91" s="18" t="s">
        <v>2742</v>
      </c>
      <c r="C91" s="19">
        <v>2707200610106</v>
      </c>
      <c r="D91" s="20">
        <f>9985408.48/1000</f>
        <v>9985.4084800000001</v>
      </c>
      <c r="E91" s="20"/>
    </row>
    <row r="92" spans="1:5" s="16" customFormat="1">
      <c r="A92" s="17">
        <v>87</v>
      </c>
      <c r="B92" s="18" t="s">
        <v>470</v>
      </c>
      <c r="C92" s="19">
        <v>2707200610099</v>
      </c>
      <c r="D92" s="20">
        <f>9731639/1000</f>
        <v>9731.6389999999992</v>
      </c>
      <c r="E92" s="20"/>
    </row>
    <row r="93" spans="1:5" s="16" customFormat="1">
      <c r="A93" s="17">
        <v>88</v>
      </c>
      <c r="B93" s="18" t="s">
        <v>2743</v>
      </c>
      <c r="C93" s="19">
        <v>2903200010071</v>
      </c>
      <c r="D93" s="20">
        <f>9683704/1000</f>
        <v>9683.7039999999997</v>
      </c>
      <c r="E93" s="20"/>
    </row>
    <row r="94" spans="1:5" s="16" customFormat="1">
      <c r="A94" s="17">
        <v>89</v>
      </c>
      <c r="B94" s="18" t="s">
        <v>2744</v>
      </c>
      <c r="C94" s="19">
        <v>1406201010100</v>
      </c>
      <c r="D94" s="20">
        <f>9459231.16/1000</f>
        <v>9459.2311599999994</v>
      </c>
      <c r="E94" s="20"/>
    </row>
    <row r="95" spans="1:5" s="16" customFormat="1">
      <c r="A95" s="17">
        <v>90</v>
      </c>
      <c r="B95" s="18" t="s">
        <v>117</v>
      </c>
      <c r="C95" s="19">
        <v>1309201210191</v>
      </c>
      <c r="D95" s="20">
        <f>9225972/1000</f>
        <v>9225.9719999999998</v>
      </c>
      <c r="E95" s="20"/>
    </row>
    <row r="96" spans="1:5" s="16" customFormat="1">
      <c r="A96" s="17">
        <v>91</v>
      </c>
      <c r="B96" s="18" t="s">
        <v>2745</v>
      </c>
      <c r="C96" s="19">
        <v>1609200510143</v>
      </c>
      <c r="D96" s="20">
        <f>9040388/1000</f>
        <v>9040.3880000000008</v>
      </c>
      <c r="E96" s="20"/>
    </row>
    <row r="97" spans="1:5" s="16" customFormat="1">
      <c r="A97" s="17">
        <v>92</v>
      </c>
      <c r="B97" s="18" t="s">
        <v>467</v>
      </c>
      <c r="C97" s="19">
        <v>2206202010287</v>
      </c>
      <c r="D97" s="20">
        <f>9171212.13/1000</f>
        <v>9171.2121300000017</v>
      </c>
      <c r="E97" s="20"/>
    </row>
    <row r="98" spans="1:5" s="16" customFormat="1">
      <c r="A98" s="17">
        <v>93</v>
      </c>
      <c r="B98" s="18" t="s">
        <v>1141</v>
      </c>
      <c r="C98" s="19">
        <v>2011201310162</v>
      </c>
      <c r="D98" s="20">
        <f>8914232.34/1000</f>
        <v>8914.2323400000005</v>
      </c>
      <c r="E98" s="20"/>
    </row>
    <row r="99" spans="1:5" s="16" customFormat="1">
      <c r="A99" s="17">
        <v>94</v>
      </c>
      <c r="B99" s="18" t="s">
        <v>482</v>
      </c>
      <c r="C99" s="19">
        <v>110200910143</v>
      </c>
      <c r="D99" s="20">
        <f>8884448.3/1000</f>
        <v>8884.4483</v>
      </c>
      <c r="E99" s="20"/>
    </row>
    <row r="100" spans="1:5" s="16" customFormat="1">
      <c r="A100" s="17">
        <v>95</v>
      </c>
      <c r="B100" s="18" t="s">
        <v>124</v>
      </c>
      <c r="C100" s="19">
        <v>1405202010204</v>
      </c>
      <c r="D100" s="20">
        <f>8877096/1000</f>
        <v>8877.0959999999995</v>
      </c>
      <c r="E100" s="20"/>
    </row>
    <row r="101" spans="1:5" s="16" customFormat="1">
      <c r="A101" s="17">
        <v>96</v>
      </c>
      <c r="B101" s="18" t="s">
        <v>2757</v>
      </c>
      <c r="C101" s="19">
        <v>2908201910151</v>
      </c>
      <c r="D101" s="20">
        <f>8416506.94/1000</f>
        <v>8416.5069399999993</v>
      </c>
      <c r="E101" s="20"/>
    </row>
    <row r="102" spans="1:5" s="16" customFormat="1">
      <c r="A102" s="17">
        <v>97</v>
      </c>
      <c r="B102" s="18" t="s">
        <v>1681</v>
      </c>
      <c r="C102" s="19">
        <v>3101200810078</v>
      </c>
      <c r="D102" s="20">
        <f>8248334.83/1000</f>
        <v>8248.3348299999998</v>
      </c>
      <c r="E102" s="20"/>
    </row>
    <row r="103" spans="1:5" s="16" customFormat="1">
      <c r="A103" s="17">
        <v>98</v>
      </c>
      <c r="B103" s="18" t="s">
        <v>460</v>
      </c>
      <c r="C103" s="19">
        <v>1409201210194</v>
      </c>
      <c r="D103" s="20">
        <f>8183454.68/1000</f>
        <v>8183.4546799999998</v>
      </c>
      <c r="E103" s="20"/>
    </row>
    <row r="104" spans="1:5" s="16" customFormat="1">
      <c r="A104" s="17">
        <v>99</v>
      </c>
      <c r="B104" s="18" t="s">
        <v>128</v>
      </c>
      <c r="C104" s="19">
        <v>20612199101425</v>
      </c>
      <c r="D104" s="20">
        <f>8117552.24/1000</f>
        <v>8117.55224</v>
      </c>
      <c r="E104" s="20"/>
    </row>
    <row r="105" spans="1:5" s="16" customFormat="1">
      <c r="A105" s="17">
        <v>100</v>
      </c>
      <c r="B105" s="18" t="s">
        <v>2758</v>
      </c>
      <c r="C105" s="19">
        <v>2306200410069</v>
      </c>
      <c r="D105" s="20">
        <f>8083762.93/1000</f>
        <v>8083.7629299999999</v>
      </c>
      <c r="E105" s="20"/>
    </row>
    <row r="106" spans="1:5" s="16" customFormat="1">
      <c r="A106" s="17">
        <v>101</v>
      </c>
      <c r="B106" s="18" t="s">
        <v>2749</v>
      </c>
      <c r="C106" s="19">
        <v>111200010172</v>
      </c>
      <c r="D106" s="20">
        <f>7896646.11/1000</f>
        <v>7896.6461100000006</v>
      </c>
      <c r="E106" s="20"/>
    </row>
    <row r="107" spans="1:5" s="16" customFormat="1">
      <c r="A107" s="17">
        <v>102</v>
      </c>
      <c r="B107" s="18" t="s">
        <v>517</v>
      </c>
      <c r="C107" s="19">
        <v>22705199001031</v>
      </c>
      <c r="D107" s="20">
        <f>7863246/1000</f>
        <v>7863.2460000000001</v>
      </c>
      <c r="E107" s="20"/>
    </row>
    <row r="108" spans="1:5" s="16" customFormat="1">
      <c r="A108" s="17">
        <v>103</v>
      </c>
      <c r="B108" s="18" t="s">
        <v>2750</v>
      </c>
      <c r="C108" s="19">
        <v>2409200810218</v>
      </c>
      <c r="D108" s="20">
        <f>7785383.23/1000</f>
        <v>7785.3832300000004</v>
      </c>
      <c r="E108" s="20"/>
    </row>
    <row r="109" spans="1:5" s="16" customFormat="1">
      <c r="A109" s="17">
        <v>104</v>
      </c>
      <c r="B109" s="18" t="s">
        <v>2394</v>
      </c>
      <c r="C109" s="19">
        <v>2702201910276</v>
      </c>
      <c r="D109" s="20">
        <f>7786767.43/1000</f>
        <v>7786.7674299999999</v>
      </c>
      <c r="E109" s="20"/>
    </row>
    <row r="110" spans="1:5" s="16" customFormat="1">
      <c r="A110" s="17">
        <v>105</v>
      </c>
      <c r="B110" s="18" t="s">
        <v>119</v>
      </c>
      <c r="C110" s="19">
        <v>21001196700103</v>
      </c>
      <c r="D110" s="20">
        <f>7741412/1000</f>
        <v>7741.4120000000003</v>
      </c>
      <c r="E110" s="20"/>
    </row>
    <row r="111" spans="1:5" s="16" customFormat="1">
      <c r="A111" s="17">
        <v>106</v>
      </c>
      <c r="B111" s="18" t="s">
        <v>122</v>
      </c>
      <c r="C111" s="19">
        <v>2403201710222</v>
      </c>
      <c r="D111" s="20">
        <f>7643749.09/1000</f>
        <v>7643.7490900000003</v>
      </c>
      <c r="E111" s="20"/>
    </row>
    <row r="112" spans="1:5" s="16" customFormat="1">
      <c r="A112" s="17">
        <v>107</v>
      </c>
      <c r="B112" s="18" t="s">
        <v>2751</v>
      </c>
      <c r="C112" s="19">
        <v>12209195500332</v>
      </c>
      <c r="D112" s="20">
        <f>7599360/1000</f>
        <v>7599.36</v>
      </c>
      <c r="E112" s="20"/>
    </row>
    <row r="113" spans="1:5" s="16" customFormat="1">
      <c r="A113" s="17">
        <v>108</v>
      </c>
      <c r="B113" s="18" t="s">
        <v>120</v>
      </c>
      <c r="C113" s="19">
        <v>1408201410267</v>
      </c>
      <c r="D113" s="20">
        <f>7422397.56/1000</f>
        <v>7422.3975599999994</v>
      </c>
      <c r="E113" s="20"/>
    </row>
    <row r="114" spans="1:5" s="16" customFormat="1">
      <c r="A114" s="17">
        <v>109</v>
      </c>
      <c r="B114" s="18" t="s">
        <v>681</v>
      </c>
      <c r="C114" s="19">
        <v>21803199301520</v>
      </c>
      <c r="D114" s="20">
        <f>7406426.16/1000</f>
        <v>7406.42616</v>
      </c>
      <c r="E114" s="20"/>
    </row>
    <row r="115" spans="1:5" s="16" customFormat="1">
      <c r="A115" s="17">
        <v>110</v>
      </c>
      <c r="B115" s="18" t="s">
        <v>1590</v>
      </c>
      <c r="C115" s="19">
        <v>403201510031</v>
      </c>
      <c r="D115" s="20">
        <f>7407796.28/1000</f>
        <v>7407.7962800000005</v>
      </c>
      <c r="E115" s="20"/>
    </row>
    <row r="116" spans="1:5" s="16" customFormat="1">
      <c r="A116" s="17">
        <v>111</v>
      </c>
      <c r="B116" s="18" t="s">
        <v>173</v>
      </c>
      <c r="C116" s="19">
        <v>2703201910461</v>
      </c>
      <c r="D116" s="20">
        <f>7095980.23/1000</f>
        <v>7095.9802300000001</v>
      </c>
      <c r="E116" s="20"/>
    </row>
    <row r="117" spans="1:5" s="16" customFormat="1">
      <c r="A117" s="17">
        <v>112</v>
      </c>
      <c r="B117" s="18" t="s">
        <v>484</v>
      </c>
      <c r="C117" s="19">
        <v>605201610149</v>
      </c>
      <c r="D117" s="20">
        <f>6965482.9/1000</f>
        <v>6965.4829</v>
      </c>
      <c r="E117" s="20"/>
    </row>
    <row r="118" spans="1:5" s="16" customFormat="1">
      <c r="A118" s="17">
        <v>113</v>
      </c>
      <c r="B118" s="18" t="s">
        <v>2701</v>
      </c>
      <c r="C118" s="19">
        <v>11707197800229</v>
      </c>
      <c r="D118" s="20">
        <f>6915494.78/1000</f>
        <v>6915.49478</v>
      </c>
      <c r="E118" s="20"/>
    </row>
    <row r="119" spans="1:5" s="16" customFormat="1">
      <c r="A119" s="17">
        <v>114</v>
      </c>
      <c r="B119" s="18" t="s">
        <v>451</v>
      </c>
      <c r="C119" s="19">
        <v>1604201310167</v>
      </c>
      <c r="D119" s="20">
        <f>6882917.77/1000</f>
        <v>6882.9177699999991</v>
      </c>
      <c r="E119" s="20"/>
    </row>
    <row r="120" spans="1:5" s="16" customFormat="1">
      <c r="A120" s="17">
        <v>115</v>
      </c>
      <c r="B120" s="18" t="s">
        <v>804</v>
      </c>
      <c r="C120" s="19">
        <v>1408199810056</v>
      </c>
      <c r="D120" s="20">
        <f>6743254.28/1000</f>
        <v>6743.2542800000001</v>
      </c>
      <c r="E120" s="20">
        <v>18987.900000000001</v>
      </c>
    </row>
    <row r="121" spans="1:5" s="16" customFormat="1">
      <c r="A121" s="17">
        <v>116</v>
      </c>
      <c r="B121" s="18" t="s">
        <v>2759</v>
      </c>
      <c r="C121" s="19">
        <v>2107200510298</v>
      </c>
      <c r="D121" s="20">
        <f>6592901/1000</f>
        <v>6592.9009999999998</v>
      </c>
      <c r="E121" s="20"/>
    </row>
    <row r="122" spans="1:5" s="16" customFormat="1">
      <c r="A122" s="17">
        <v>117</v>
      </c>
      <c r="B122" s="18" t="s">
        <v>475</v>
      </c>
      <c r="C122" s="19">
        <v>1809200910040</v>
      </c>
      <c r="D122" s="20">
        <f>6546657.5/1000</f>
        <v>6546.6575000000003</v>
      </c>
      <c r="E122" s="20"/>
    </row>
    <row r="123" spans="1:5" s="16" customFormat="1">
      <c r="A123" s="17">
        <v>118</v>
      </c>
      <c r="B123" s="18" t="s">
        <v>123</v>
      </c>
      <c r="C123" s="19">
        <v>22607198301274</v>
      </c>
      <c r="D123" s="20">
        <f>6524078/1000</f>
        <v>6524.0780000000004</v>
      </c>
      <c r="E123" s="20"/>
    </row>
    <row r="124" spans="1:5" s="16" customFormat="1">
      <c r="A124" s="17">
        <v>119</v>
      </c>
      <c r="B124" s="18" t="s">
        <v>129</v>
      </c>
      <c r="C124" s="19">
        <v>12005197900596</v>
      </c>
      <c r="D124" s="20">
        <f>6475284.33/1000</f>
        <v>6475.2843300000004</v>
      </c>
      <c r="E124" s="20"/>
    </row>
    <row r="125" spans="1:5" s="16" customFormat="1">
      <c r="A125" s="17">
        <v>120</v>
      </c>
      <c r="B125" s="18" t="s">
        <v>486</v>
      </c>
      <c r="C125" s="19">
        <v>510201010074</v>
      </c>
      <c r="D125" s="20">
        <f>6381845.74/1000</f>
        <v>6381.8457400000007</v>
      </c>
      <c r="E125" s="20"/>
    </row>
    <row r="126" spans="1:5" s="16" customFormat="1">
      <c r="A126" s="17">
        <v>121</v>
      </c>
      <c r="B126" s="18" t="s">
        <v>131</v>
      </c>
      <c r="C126" s="19">
        <v>22204199501564</v>
      </c>
      <c r="D126" s="20">
        <f>6345557.33/1000</f>
        <v>6345.5573299999996</v>
      </c>
      <c r="E126" s="20"/>
    </row>
    <row r="127" spans="1:5" s="16" customFormat="1">
      <c r="A127" s="17">
        <v>122</v>
      </c>
      <c r="B127" s="18" t="s">
        <v>2752</v>
      </c>
      <c r="C127" s="19">
        <v>1504200510456</v>
      </c>
      <c r="D127" s="20">
        <f>6344938/1000</f>
        <v>6344.9380000000001</v>
      </c>
      <c r="E127" s="20"/>
    </row>
    <row r="128" spans="1:5" s="16" customFormat="1">
      <c r="A128" s="17">
        <v>123</v>
      </c>
      <c r="B128" s="18" t="s">
        <v>125</v>
      </c>
      <c r="C128" s="19">
        <v>20512199000598</v>
      </c>
      <c r="D128" s="20">
        <f>6334264/1000</f>
        <v>6334.2640000000001</v>
      </c>
      <c r="E128" s="20"/>
    </row>
    <row r="129" spans="1:5" s="16" customFormat="1">
      <c r="A129" s="17">
        <v>124</v>
      </c>
      <c r="B129" s="18" t="s">
        <v>1589</v>
      </c>
      <c r="C129" s="19">
        <v>10404197900615</v>
      </c>
      <c r="D129" s="20">
        <f>6214805.16/1000</f>
        <v>6214.8051599999999</v>
      </c>
      <c r="E129" s="20"/>
    </row>
    <row r="130" spans="1:5" s="16" customFormat="1">
      <c r="A130" s="17">
        <v>125</v>
      </c>
      <c r="B130" s="18" t="s">
        <v>1682</v>
      </c>
      <c r="C130" s="19">
        <v>1409201610169</v>
      </c>
      <c r="D130" s="20">
        <f>6034046.89/1000</f>
        <v>6034.0468899999996</v>
      </c>
      <c r="E130" s="20"/>
    </row>
    <row r="131" spans="1:5" s="16" customFormat="1">
      <c r="A131" s="17">
        <v>126</v>
      </c>
      <c r="B131" s="18" t="s">
        <v>496</v>
      </c>
      <c r="C131" s="19">
        <v>2511201410301</v>
      </c>
      <c r="D131" s="20">
        <f>5928030.26/1000</f>
        <v>5928.0302599999995</v>
      </c>
      <c r="E131" s="20"/>
    </row>
    <row r="132" spans="1:5" s="16" customFormat="1">
      <c r="A132" s="17">
        <v>127</v>
      </c>
      <c r="B132" s="18" t="s">
        <v>458</v>
      </c>
      <c r="C132" s="19">
        <v>2311201110047</v>
      </c>
      <c r="D132" s="20">
        <f>5931642/1000</f>
        <v>5931.6419999999998</v>
      </c>
      <c r="E132" s="20"/>
    </row>
    <row r="133" spans="1:5" s="16" customFormat="1">
      <c r="A133" s="17">
        <v>128</v>
      </c>
      <c r="B133" s="18" t="s">
        <v>480</v>
      </c>
      <c r="C133" s="19">
        <v>907202110079</v>
      </c>
      <c r="D133" s="20">
        <f>6013603.25/1000</f>
        <v>6013.6032500000001</v>
      </c>
      <c r="E133" s="20"/>
    </row>
    <row r="134" spans="1:5" s="16" customFormat="1">
      <c r="A134" s="17">
        <v>129</v>
      </c>
      <c r="B134" s="18" t="s">
        <v>450</v>
      </c>
      <c r="C134" s="19">
        <v>1907201210158</v>
      </c>
      <c r="D134" s="20">
        <f>5804400/1000</f>
        <v>5804.4</v>
      </c>
      <c r="E134" s="20"/>
    </row>
    <row r="135" spans="1:5" s="16" customFormat="1">
      <c r="A135" s="17">
        <v>130</v>
      </c>
      <c r="B135" s="18" t="s">
        <v>1591</v>
      </c>
      <c r="C135" s="19">
        <v>2106202210189</v>
      </c>
      <c r="D135" s="20">
        <f>5703381.47/1000</f>
        <v>5703.3814699999994</v>
      </c>
      <c r="E135" s="20"/>
    </row>
    <row r="136" spans="1:5" s="16" customFormat="1">
      <c r="A136" s="17">
        <v>131</v>
      </c>
      <c r="B136" s="18" t="s">
        <v>2753</v>
      </c>
      <c r="C136" s="19">
        <v>1005200710186</v>
      </c>
      <c r="D136" s="20">
        <f>5701964.57/1000</f>
        <v>5701.9645700000001</v>
      </c>
      <c r="E136" s="20"/>
    </row>
    <row r="137" spans="1:5" s="16" customFormat="1">
      <c r="A137" s="17">
        <v>132</v>
      </c>
      <c r="B137" s="18" t="s">
        <v>127</v>
      </c>
      <c r="C137" s="19">
        <v>10409199301989</v>
      </c>
      <c r="D137" s="20">
        <f>5569700/1000</f>
        <v>5569.7</v>
      </c>
      <c r="E137" s="20"/>
    </row>
    <row r="138" spans="1:5" s="16" customFormat="1">
      <c r="A138" s="17">
        <v>133</v>
      </c>
      <c r="B138" s="18" t="s">
        <v>1678</v>
      </c>
      <c r="C138" s="19">
        <v>1710200710186</v>
      </c>
      <c r="D138" s="20">
        <f>5448693.63/1000</f>
        <v>5448.6936299999998</v>
      </c>
      <c r="E138" s="20"/>
    </row>
    <row r="139" spans="1:5" s="16" customFormat="1">
      <c r="A139" s="17">
        <v>134</v>
      </c>
      <c r="B139" s="18" t="s">
        <v>950</v>
      </c>
      <c r="C139" s="19">
        <v>2209202210161</v>
      </c>
      <c r="D139" s="20">
        <f>5336776.12/1000</f>
        <v>5336.7761200000004</v>
      </c>
      <c r="E139" s="20"/>
    </row>
    <row r="140" spans="1:5" s="16" customFormat="1">
      <c r="A140" s="17">
        <v>135</v>
      </c>
      <c r="B140" s="18" t="s">
        <v>130</v>
      </c>
      <c r="C140" s="19">
        <v>21703198101358</v>
      </c>
      <c r="D140" s="20">
        <f>5002784/1000</f>
        <v>5002.7839999999997</v>
      </c>
      <c r="E140" s="20"/>
    </row>
    <row r="141" spans="1:5" s="16" customFormat="1">
      <c r="A141" s="17">
        <v>136</v>
      </c>
      <c r="B141" s="18" t="s">
        <v>132</v>
      </c>
      <c r="C141" s="19">
        <v>12911195700482</v>
      </c>
      <c r="D141" s="20">
        <f>4961682.1/1000</f>
        <v>4961.6821</v>
      </c>
      <c r="E141" s="20"/>
    </row>
    <row r="142" spans="1:5" s="16" customFormat="1">
      <c r="A142" s="17">
        <v>137</v>
      </c>
      <c r="B142" s="18" t="s">
        <v>2760</v>
      </c>
      <c r="C142" s="19">
        <v>2703199610098</v>
      </c>
      <c r="D142" s="20">
        <f>4950340.17/1000</f>
        <v>4950.3401699999995</v>
      </c>
      <c r="E142" s="20"/>
    </row>
    <row r="143" spans="1:5" s="16" customFormat="1">
      <c r="A143" s="17">
        <v>138</v>
      </c>
      <c r="B143" s="18" t="s">
        <v>2754</v>
      </c>
      <c r="C143" s="19">
        <v>2906200510111</v>
      </c>
      <c r="D143" s="20">
        <f>4900239.46/1000</f>
        <v>4900.2394599999998</v>
      </c>
      <c r="E143" s="20"/>
    </row>
    <row r="144" spans="1:5" s="16" customFormat="1">
      <c r="A144" s="17">
        <v>139</v>
      </c>
      <c r="B144" s="18" t="s">
        <v>126</v>
      </c>
      <c r="C144" s="19">
        <v>1405200810070</v>
      </c>
      <c r="D144" s="20">
        <f>4721695.14/1000</f>
        <v>4721.6951399999998</v>
      </c>
      <c r="E144" s="20"/>
    </row>
    <row r="145" spans="1:5" s="16" customFormat="1">
      <c r="A145" s="17">
        <v>140</v>
      </c>
      <c r="B145" s="18" t="s">
        <v>489</v>
      </c>
      <c r="C145" s="19">
        <v>2608201010134</v>
      </c>
      <c r="D145" s="20">
        <f>4616260/1000</f>
        <v>4616.26</v>
      </c>
      <c r="E145" s="20"/>
    </row>
    <row r="146" spans="1:5" s="16" customFormat="1">
      <c r="A146" s="17">
        <v>141</v>
      </c>
      <c r="B146" s="18" t="s">
        <v>2755</v>
      </c>
      <c r="C146" s="19">
        <v>2210200710143</v>
      </c>
      <c r="D146" s="20">
        <f>4539932/1000</f>
        <v>4539.9319999999998</v>
      </c>
      <c r="E146" s="20"/>
    </row>
    <row r="147" spans="1:5" s="16" customFormat="1">
      <c r="A147" s="17">
        <v>142</v>
      </c>
      <c r="B147" s="18" t="s">
        <v>443</v>
      </c>
      <c r="C147" s="19">
        <v>22708198200596</v>
      </c>
      <c r="D147" s="20">
        <f>4360755.81/1000</f>
        <v>4360.7558099999997</v>
      </c>
      <c r="E147" s="20"/>
    </row>
    <row r="148" spans="1:5" s="16" customFormat="1">
      <c r="A148" s="17">
        <v>143</v>
      </c>
      <c r="B148" s="18" t="s">
        <v>497</v>
      </c>
      <c r="C148" s="19">
        <v>804201110151</v>
      </c>
      <c r="D148" s="20">
        <f>4278814/1000</f>
        <v>4278.8140000000003</v>
      </c>
      <c r="E148" s="20"/>
    </row>
    <row r="149" spans="1:5" s="16" customFormat="1">
      <c r="A149" s="17">
        <v>144</v>
      </c>
      <c r="B149" s="18" t="s">
        <v>160</v>
      </c>
      <c r="C149" s="19">
        <v>3007199910047</v>
      </c>
      <c r="D149" s="20">
        <f>4263526/1000</f>
        <v>4263.5259999999998</v>
      </c>
      <c r="E149" s="20"/>
    </row>
    <row r="150" spans="1:5" s="16" customFormat="1">
      <c r="A150" s="17">
        <v>145</v>
      </c>
      <c r="B150" s="18" t="s">
        <v>463</v>
      </c>
      <c r="C150" s="19">
        <v>202201110095</v>
      </c>
      <c r="D150" s="20">
        <f>4175597.72/1000</f>
        <v>4175.5977199999998</v>
      </c>
      <c r="E150" s="20"/>
    </row>
    <row r="151" spans="1:5" s="16" customFormat="1">
      <c r="A151" s="17">
        <v>146</v>
      </c>
      <c r="B151" s="18" t="s">
        <v>483</v>
      </c>
      <c r="C151" s="19">
        <v>1711200810148</v>
      </c>
      <c r="D151" s="20">
        <f>4180449.36/1000</f>
        <v>4180.4493599999996</v>
      </c>
      <c r="E151" s="20"/>
    </row>
    <row r="152" spans="1:5" s="16" customFormat="1">
      <c r="A152" s="17">
        <v>147</v>
      </c>
      <c r="B152" s="18" t="s">
        <v>2702</v>
      </c>
      <c r="C152" s="19">
        <v>2704202210323</v>
      </c>
      <c r="D152" s="20">
        <f>4130944.71/1000</f>
        <v>4130.9447099999998</v>
      </c>
      <c r="E152" s="20"/>
    </row>
    <row r="153" spans="1:5" s="16" customFormat="1">
      <c r="A153" s="17">
        <v>148</v>
      </c>
      <c r="B153" s="18" t="s">
        <v>474</v>
      </c>
      <c r="C153" s="19">
        <v>2412201310168</v>
      </c>
      <c r="D153" s="20">
        <f>4095284.05/1000</f>
        <v>4095.2840499999998</v>
      </c>
      <c r="E153" s="20"/>
    </row>
    <row r="154" spans="1:5" s="16" customFormat="1">
      <c r="A154" s="17">
        <v>149</v>
      </c>
      <c r="B154" s="18" t="s">
        <v>1944</v>
      </c>
      <c r="C154" s="19">
        <v>1010201310051</v>
      </c>
      <c r="D154" s="20">
        <f>4086801.35/1000</f>
        <v>4086.8013500000002</v>
      </c>
      <c r="E154" s="20"/>
    </row>
    <row r="155" spans="1:5" s="16" customFormat="1">
      <c r="A155" s="17">
        <v>150</v>
      </c>
      <c r="B155" s="18" t="s">
        <v>2761</v>
      </c>
      <c r="C155" s="19">
        <v>2707201810179</v>
      </c>
      <c r="D155" s="20">
        <f>4078065.24/1000</f>
        <v>4078.0652400000004</v>
      </c>
      <c r="E155" s="20"/>
    </row>
    <row r="156" spans="1:5" s="16" customFormat="1">
      <c r="A156" s="17">
        <v>151</v>
      </c>
      <c r="B156" s="18" t="s">
        <v>143</v>
      </c>
      <c r="C156" s="19">
        <v>20304198301041</v>
      </c>
      <c r="D156" s="20">
        <f>3980902.53/1000</f>
        <v>3980.9025299999998</v>
      </c>
      <c r="E156" s="20"/>
    </row>
    <row r="157" spans="1:5" s="16" customFormat="1">
      <c r="A157" s="17">
        <v>152</v>
      </c>
      <c r="B157" s="18" t="s">
        <v>508</v>
      </c>
      <c r="C157" s="19">
        <v>2409201310194</v>
      </c>
      <c r="D157" s="20">
        <f>3939017.6/1000</f>
        <v>3939.0176000000001</v>
      </c>
      <c r="E157" s="20"/>
    </row>
    <row r="158" spans="1:5" s="16" customFormat="1">
      <c r="A158" s="17">
        <v>153</v>
      </c>
      <c r="B158" s="18" t="s">
        <v>133</v>
      </c>
      <c r="C158" s="19">
        <v>22401196200090</v>
      </c>
      <c r="D158" s="20">
        <f>3904720/1000</f>
        <v>3904.72</v>
      </c>
      <c r="E158" s="20"/>
    </row>
    <row r="159" spans="1:5" s="16" customFormat="1">
      <c r="A159" s="17">
        <v>154</v>
      </c>
      <c r="B159" s="18" t="s">
        <v>145</v>
      </c>
      <c r="C159" s="19">
        <v>22906198200863</v>
      </c>
      <c r="D159" s="20">
        <f>3887051.64/1000</f>
        <v>3887.0516400000001</v>
      </c>
      <c r="E159" s="20"/>
    </row>
    <row r="160" spans="1:5" s="16" customFormat="1">
      <c r="A160" s="17">
        <v>155</v>
      </c>
      <c r="B160" s="18" t="s">
        <v>2762</v>
      </c>
      <c r="C160" s="19">
        <v>2312200410140</v>
      </c>
      <c r="D160" s="20">
        <f>3796048.5/1000</f>
        <v>3796.0484999999999</v>
      </c>
      <c r="E160" s="20"/>
    </row>
    <row r="161" spans="1:5" s="16" customFormat="1">
      <c r="A161" s="17">
        <v>156</v>
      </c>
      <c r="B161" s="18" t="s">
        <v>134</v>
      </c>
      <c r="C161" s="19">
        <v>508201410102</v>
      </c>
      <c r="D161" s="20">
        <f>3688808.71/1000</f>
        <v>3688.8087099999998</v>
      </c>
      <c r="E161" s="20"/>
    </row>
    <row r="162" spans="1:5" s="16" customFormat="1">
      <c r="A162" s="17">
        <v>157</v>
      </c>
      <c r="B162" s="18" t="s">
        <v>135</v>
      </c>
      <c r="C162" s="19">
        <v>12404197601044</v>
      </c>
      <c r="D162" s="20">
        <f>3674560.2/1000</f>
        <v>3674.5602000000003</v>
      </c>
      <c r="E162" s="20"/>
    </row>
    <row r="163" spans="1:5" s="16" customFormat="1">
      <c r="A163" s="17">
        <v>158</v>
      </c>
      <c r="B163" s="18" t="s">
        <v>140</v>
      </c>
      <c r="C163" s="19">
        <v>2801202010074</v>
      </c>
      <c r="D163" s="20">
        <f>3652360/1000</f>
        <v>3652.36</v>
      </c>
      <c r="E163" s="20"/>
    </row>
    <row r="164" spans="1:5" s="16" customFormat="1">
      <c r="A164" s="17">
        <v>159</v>
      </c>
      <c r="B164" s="18" t="s">
        <v>951</v>
      </c>
      <c r="C164" s="19">
        <v>1208202210148</v>
      </c>
      <c r="D164" s="20">
        <f>3613137.74/1000</f>
        <v>3613.1377400000001</v>
      </c>
      <c r="E164" s="20"/>
    </row>
    <row r="165" spans="1:5" s="16" customFormat="1">
      <c r="A165" s="17">
        <v>160</v>
      </c>
      <c r="B165" s="18" t="s">
        <v>2756</v>
      </c>
      <c r="C165" s="19">
        <v>702200810099</v>
      </c>
      <c r="D165" s="20">
        <f>3560639.5/1000</f>
        <v>3560.6395000000002</v>
      </c>
      <c r="E165" s="20"/>
    </row>
    <row r="166" spans="1:5" s="16" customFormat="1">
      <c r="A166" s="17">
        <v>161</v>
      </c>
      <c r="B166" s="18" t="s">
        <v>542</v>
      </c>
      <c r="C166" s="19">
        <v>802201710075</v>
      </c>
      <c r="D166" s="20">
        <f>3570581.46/1000</f>
        <v>3570.5814599999999</v>
      </c>
      <c r="E166" s="20">
        <v>1992.8</v>
      </c>
    </row>
    <row r="167" spans="1:5" s="16" customFormat="1">
      <c r="A167" s="17">
        <v>162</v>
      </c>
      <c r="B167" s="18" t="s">
        <v>499</v>
      </c>
      <c r="C167" s="19">
        <v>2609201110193</v>
      </c>
      <c r="D167" s="20">
        <f>3506468.4/1000</f>
        <v>3506.4683999999997</v>
      </c>
      <c r="E167" s="20"/>
    </row>
    <row r="168" spans="1:5" s="16" customFormat="1">
      <c r="A168" s="17">
        <v>163</v>
      </c>
      <c r="B168" s="18" t="s">
        <v>144</v>
      </c>
      <c r="C168" s="19">
        <v>406200910097</v>
      </c>
      <c r="D168" s="20">
        <f>3452745.67/1000</f>
        <v>3452.7456699999998</v>
      </c>
      <c r="E168" s="20"/>
    </row>
    <row r="169" spans="1:5" s="16" customFormat="1">
      <c r="A169" s="17">
        <v>164</v>
      </c>
      <c r="B169" s="18" t="s">
        <v>161</v>
      </c>
      <c r="C169" s="19">
        <v>2302199410096</v>
      </c>
      <c r="D169" s="20">
        <f>3438681.16/1000</f>
        <v>3438.6811600000001</v>
      </c>
      <c r="E169" s="20"/>
    </row>
    <row r="170" spans="1:5" s="16" customFormat="1">
      <c r="A170" s="17">
        <v>165</v>
      </c>
      <c r="B170" s="18" t="s">
        <v>148</v>
      </c>
      <c r="C170" s="19">
        <v>2109202010173</v>
      </c>
      <c r="D170" s="20">
        <f>3386541/1000</f>
        <v>3386.5410000000002</v>
      </c>
      <c r="E170" s="20"/>
    </row>
    <row r="171" spans="1:5" s="16" customFormat="1">
      <c r="A171" s="17">
        <v>166</v>
      </c>
      <c r="B171" s="18" t="s">
        <v>174</v>
      </c>
      <c r="C171" s="19">
        <v>1509199710096</v>
      </c>
      <c r="D171" s="20">
        <f>3397249.64/1000</f>
        <v>3397.24964</v>
      </c>
      <c r="E171" s="20">
        <v>2579.6</v>
      </c>
    </row>
    <row r="172" spans="1:5" s="16" customFormat="1">
      <c r="A172" s="17">
        <v>167</v>
      </c>
      <c r="B172" s="18" t="s">
        <v>136</v>
      </c>
      <c r="C172" s="19">
        <v>1407201710183</v>
      </c>
      <c r="D172" s="20">
        <f>3341599.96/1000</f>
        <v>3341.59996</v>
      </c>
      <c r="E172" s="20"/>
    </row>
    <row r="173" spans="1:5" s="16" customFormat="1">
      <c r="A173" s="17">
        <v>168</v>
      </c>
      <c r="B173" s="18" t="s">
        <v>137</v>
      </c>
      <c r="C173" s="19">
        <v>21403197000038</v>
      </c>
      <c r="D173" s="20">
        <f>3305825.13/1000</f>
        <v>3305.8251299999997</v>
      </c>
      <c r="E173" s="20"/>
    </row>
    <row r="174" spans="1:5" s="16" customFormat="1">
      <c r="A174" s="17">
        <v>169</v>
      </c>
      <c r="B174" s="18" t="s">
        <v>2395</v>
      </c>
      <c r="C174" s="19">
        <v>1512201610059</v>
      </c>
      <c r="D174" s="20">
        <f>3317629.03/1000</f>
        <v>3317.6290299999996</v>
      </c>
      <c r="E174" s="20"/>
    </row>
    <row r="175" spans="1:5" s="16" customFormat="1">
      <c r="A175" s="17">
        <v>170</v>
      </c>
      <c r="B175" s="18" t="s">
        <v>138</v>
      </c>
      <c r="C175" s="19">
        <v>3103201110270</v>
      </c>
      <c r="D175" s="20">
        <f>3276962/1000</f>
        <v>3276.962</v>
      </c>
      <c r="E175" s="20"/>
    </row>
    <row r="176" spans="1:5" s="16" customFormat="1">
      <c r="A176" s="17">
        <v>171</v>
      </c>
      <c r="B176" s="18" t="s">
        <v>164</v>
      </c>
      <c r="C176" s="19">
        <v>2807202010028</v>
      </c>
      <c r="D176" s="20">
        <f>3321571.52/1000</f>
        <v>3321.57152</v>
      </c>
      <c r="E176" s="20"/>
    </row>
    <row r="177" spans="1:5" s="16" customFormat="1">
      <c r="A177" s="17">
        <v>172</v>
      </c>
      <c r="B177" s="18" t="s">
        <v>2776</v>
      </c>
      <c r="C177" s="19">
        <v>808199710118</v>
      </c>
      <c r="D177" s="20">
        <f>3348234.09/1000</f>
        <v>3348.2340899999999</v>
      </c>
      <c r="E177" s="20">
        <v>3282.2</v>
      </c>
    </row>
    <row r="178" spans="1:5" s="16" customFormat="1">
      <c r="A178" s="17">
        <v>173</v>
      </c>
      <c r="B178" s="18" t="s">
        <v>166</v>
      </c>
      <c r="C178" s="19">
        <v>2412202010259</v>
      </c>
      <c r="D178" s="20">
        <f>3267035.37/1000</f>
        <v>3267.0353700000001</v>
      </c>
      <c r="E178" s="20"/>
    </row>
    <row r="179" spans="1:5" s="16" customFormat="1">
      <c r="A179" s="17">
        <v>174</v>
      </c>
      <c r="B179" s="18" t="s">
        <v>2763</v>
      </c>
      <c r="C179" s="19">
        <v>1309200210329</v>
      </c>
      <c r="D179" s="20">
        <f>3123987.94/1000</f>
        <v>3123.98794</v>
      </c>
      <c r="E179" s="20"/>
    </row>
    <row r="180" spans="1:5" s="16" customFormat="1">
      <c r="A180" s="17">
        <v>175</v>
      </c>
      <c r="B180" s="18" t="s">
        <v>2777</v>
      </c>
      <c r="C180" s="19">
        <v>2410200710108</v>
      </c>
      <c r="D180" s="20">
        <f>3162865.69/1000</f>
        <v>3162.8656900000001</v>
      </c>
      <c r="E180" s="20"/>
    </row>
    <row r="181" spans="1:5" s="16" customFormat="1">
      <c r="A181" s="17">
        <v>176</v>
      </c>
      <c r="B181" s="18" t="s">
        <v>1015</v>
      </c>
      <c r="C181" s="19">
        <v>22704199701515</v>
      </c>
      <c r="D181" s="20">
        <f>3080188/1000</f>
        <v>3080.1880000000001</v>
      </c>
      <c r="E181" s="20"/>
    </row>
    <row r="182" spans="1:5" s="23" customFormat="1">
      <c r="A182" s="17">
        <v>177</v>
      </c>
      <c r="B182" s="18" t="s">
        <v>2703</v>
      </c>
      <c r="C182" s="21">
        <v>20709197600017</v>
      </c>
      <c r="D182" s="22">
        <f>3039556.91/1000</f>
        <v>3039.5569100000002</v>
      </c>
      <c r="E182" s="22"/>
    </row>
    <row r="183" spans="1:5" s="16" customFormat="1">
      <c r="A183" s="17">
        <v>178</v>
      </c>
      <c r="B183" s="18" t="s">
        <v>1592</v>
      </c>
      <c r="C183" s="19">
        <v>1801201410093</v>
      </c>
      <c r="D183" s="20">
        <f>3034272.12/1000</f>
        <v>3034.2721200000001</v>
      </c>
      <c r="E183" s="20"/>
    </row>
    <row r="184" spans="1:5" s="16" customFormat="1">
      <c r="A184" s="17">
        <v>179</v>
      </c>
      <c r="B184" s="18" t="s">
        <v>682</v>
      </c>
      <c r="C184" s="19">
        <v>3004199910176</v>
      </c>
      <c r="D184" s="20">
        <f>3019331.48/1000</f>
        <v>3019.3314799999998</v>
      </c>
      <c r="E184" s="20"/>
    </row>
    <row r="185" spans="1:5" s="16" customFormat="1">
      <c r="A185" s="17">
        <v>180</v>
      </c>
      <c r="B185" s="18" t="s">
        <v>139</v>
      </c>
      <c r="C185" s="19">
        <v>2206201210128</v>
      </c>
      <c r="D185" s="20">
        <f>2959310.98/1000</f>
        <v>2959.3109800000002</v>
      </c>
      <c r="E185" s="20"/>
    </row>
    <row r="186" spans="1:5" s="16" customFormat="1">
      <c r="A186" s="17">
        <v>181</v>
      </c>
      <c r="B186" s="18" t="s">
        <v>162</v>
      </c>
      <c r="C186" s="19">
        <v>508201410232</v>
      </c>
      <c r="D186" s="20">
        <f>2924839.45/1000</f>
        <v>2924.8394500000004</v>
      </c>
      <c r="E186" s="20"/>
    </row>
    <row r="187" spans="1:5" s="16" customFormat="1">
      <c r="A187" s="17">
        <v>182</v>
      </c>
      <c r="B187" s="18" t="s">
        <v>1142</v>
      </c>
      <c r="C187" s="19">
        <v>2706202210322</v>
      </c>
      <c r="D187" s="20">
        <f>2894832.16/1000</f>
        <v>2894.8321599999999</v>
      </c>
      <c r="E187" s="20"/>
    </row>
    <row r="188" spans="1:5" s="16" customFormat="1">
      <c r="A188" s="17">
        <v>183</v>
      </c>
      <c r="B188" s="18" t="s">
        <v>2704</v>
      </c>
      <c r="C188" s="19">
        <v>1102202010195</v>
      </c>
      <c r="D188" s="20">
        <f>988153.84/1000</f>
        <v>988.15383999999995</v>
      </c>
      <c r="E188" s="20"/>
    </row>
    <row r="189" spans="1:5" s="16" customFormat="1">
      <c r="A189" s="17">
        <v>184</v>
      </c>
      <c r="B189" s="18" t="s">
        <v>2764</v>
      </c>
      <c r="C189" s="19">
        <v>609200610063</v>
      </c>
      <c r="D189" s="20">
        <f>2807997.06/1000</f>
        <v>2807.9970600000001</v>
      </c>
      <c r="E189" s="20"/>
    </row>
    <row r="190" spans="1:5" s="16" customFormat="1">
      <c r="A190" s="17">
        <v>185</v>
      </c>
      <c r="B190" s="18" t="s">
        <v>169</v>
      </c>
      <c r="C190" s="19">
        <v>2501202110211</v>
      </c>
      <c r="D190" s="20">
        <f>2805073.15/1000</f>
        <v>2805.0731499999997</v>
      </c>
      <c r="E190" s="20"/>
    </row>
    <row r="191" spans="1:5" s="16" customFormat="1">
      <c r="A191" s="17">
        <v>186</v>
      </c>
      <c r="B191" s="18" t="s">
        <v>141</v>
      </c>
      <c r="C191" s="19">
        <v>10910197601038</v>
      </c>
      <c r="D191" s="20">
        <f>2883887.91/1000</f>
        <v>2883.8879100000004</v>
      </c>
      <c r="E191" s="20"/>
    </row>
    <row r="192" spans="1:5" s="16" customFormat="1">
      <c r="A192" s="17">
        <v>187</v>
      </c>
      <c r="B192" s="18" t="s">
        <v>142</v>
      </c>
      <c r="C192" s="19">
        <v>20307197700420</v>
      </c>
      <c r="D192" s="20">
        <f>2782156/1000</f>
        <v>2782.1559999999999</v>
      </c>
      <c r="E192" s="20"/>
    </row>
    <row r="193" spans="1:5" s="16" customFormat="1">
      <c r="A193" s="17">
        <v>188</v>
      </c>
      <c r="B193" s="18" t="s">
        <v>163</v>
      </c>
      <c r="C193" s="19">
        <v>902201710037</v>
      </c>
      <c r="D193" s="20">
        <f>2742825.09/1000</f>
        <v>2742.8250899999998</v>
      </c>
      <c r="E193" s="20"/>
    </row>
    <row r="194" spans="1:5" s="16" customFormat="1">
      <c r="A194" s="17">
        <v>189</v>
      </c>
      <c r="B194" s="18" t="s">
        <v>188</v>
      </c>
      <c r="C194" s="19">
        <v>10107199300540</v>
      </c>
      <c r="D194" s="20">
        <f>2736748/1000</f>
        <v>2736.748</v>
      </c>
      <c r="E194" s="20"/>
    </row>
    <row r="195" spans="1:5" s="16" customFormat="1">
      <c r="A195" s="17">
        <v>190</v>
      </c>
      <c r="B195" s="18" t="s">
        <v>1663</v>
      </c>
      <c r="C195" s="19">
        <v>1009199210137</v>
      </c>
      <c r="D195" s="20">
        <f>2719744.84/1000</f>
        <v>2719.7448399999998</v>
      </c>
      <c r="E195" s="20"/>
    </row>
    <row r="196" spans="1:5" s="16" customFormat="1">
      <c r="A196" s="17">
        <v>191</v>
      </c>
      <c r="B196" s="18" t="s">
        <v>952</v>
      </c>
      <c r="C196" s="19">
        <v>1212201210188</v>
      </c>
      <c r="D196" s="20">
        <f>1421068.89/1000</f>
        <v>1421.06889</v>
      </c>
      <c r="E196" s="20"/>
    </row>
    <row r="197" spans="1:5" s="16" customFormat="1">
      <c r="A197" s="17">
        <v>192</v>
      </c>
      <c r="B197" s="18" t="s">
        <v>683</v>
      </c>
      <c r="C197" s="19">
        <v>10902197901164</v>
      </c>
      <c r="D197" s="20">
        <f>2641112.73/1000</f>
        <v>2641.1127299999998</v>
      </c>
      <c r="E197" s="20"/>
    </row>
    <row r="198" spans="1:5" s="16" customFormat="1">
      <c r="A198" s="17">
        <v>193</v>
      </c>
      <c r="B198" s="18" t="s">
        <v>146</v>
      </c>
      <c r="C198" s="19">
        <v>11803199801378</v>
      </c>
      <c r="D198" s="20">
        <f>2591800/1000</f>
        <v>2591.8000000000002</v>
      </c>
      <c r="E198" s="20"/>
    </row>
    <row r="199" spans="1:5" s="16" customFormat="1">
      <c r="A199" s="17">
        <v>194</v>
      </c>
      <c r="B199" s="18" t="s">
        <v>1941</v>
      </c>
      <c r="C199" s="19">
        <v>1703201610205</v>
      </c>
      <c r="D199" s="20">
        <f>2580070.97/1000</f>
        <v>2580.0709700000002</v>
      </c>
      <c r="E199" s="20"/>
    </row>
    <row r="200" spans="1:5" s="16" customFormat="1">
      <c r="A200" s="17">
        <v>195</v>
      </c>
      <c r="B200" s="18" t="s">
        <v>1683</v>
      </c>
      <c r="C200" s="19">
        <v>411200910263</v>
      </c>
      <c r="D200" s="20">
        <f>2508298.87/1000</f>
        <v>2508.2988700000001</v>
      </c>
      <c r="E200" s="20"/>
    </row>
    <row r="201" spans="1:5" s="16" customFormat="1">
      <c r="A201" s="17">
        <v>196</v>
      </c>
      <c r="B201" s="18" t="s">
        <v>2397</v>
      </c>
      <c r="C201" s="19">
        <v>907200810122</v>
      </c>
      <c r="D201" s="20">
        <f>2483026.35/1000</f>
        <v>2483.0263500000001</v>
      </c>
      <c r="E201" s="20"/>
    </row>
    <row r="202" spans="1:5" s="16" customFormat="1">
      <c r="A202" s="17">
        <v>197</v>
      </c>
      <c r="B202" s="18" t="s">
        <v>147</v>
      </c>
      <c r="C202" s="19">
        <v>2707201710040</v>
      </c>
      <c r="D202" s="20">
        <f>2468622.79/1000</f>
        <v>2468.6227899999999</v>
      </c>
      <c r="E202" s="20"/>
    </row>
    <row r="203" spans="1:5" s="16" customFormat="1">
      <c r="A203" s="17">
        <v>198</v>
      </c>
      <c r="B203" s="18" t="s">
        <v>149</v>
      </c>
      <c r="C203" s="19">
        <v>20502196401028</v>
      </c>
      <c r="D203" s="20">
        <f>2458171/1000</f>
        <v>2458.1709999999998</v>
      </c>
      <c r="E203" s="20"/>
    </row>
    <row r="204" spans="1:5" s="16" customFormat="1">
      <c r="A204" s="17">
        <v>199</v>
      </c>
      <c r="B204" s="18" t="s">
        <v>543</v>
      </c>
      <c r="C204" s="19">
        <v>20309197000042</v>
      </c>
      <c r="D204" s="20">
        <f>2429283.89/1000</f>
        <v>2429.2838900000002</v>
      </c>
      <c r="E204" s="20"/>
    </row>
    <row r="205" spans="1:5" s="16" customFormat="1">
      <c r="A205" s="17">
        <v>200</v>
      </c>
      <c r="B205" s="18" t="s">
        <v>2778</v>
      </c>
      <c r="C205" s="19">
        <v>211200510163</v>
      </c>
      <c r="D205" s="20">
        <f>2386440/1000</f>
        <v>2386.44</v>
      </c>
      <c r="E205" s="20"/>
    </row>
    <row r="206" spans="1:5" s="16" customFormat="1">
      <c r="A206" s="17">
        <v>201</v>
      </c>
      <c r="B206" s="18" t="s">
        <v>461</v>
      </c>
      <c r="C206" s="19">
        <v>2008200910134</v>
      </c>
      <c r="D206" s="20">
        <f>2373627.98/1000</f>
        <v>2373.6279800000002</v>
      </c>
      <c r="E206" s="20"/>
    </row>
    <row r="207" spans="1:5" s="16" customFormat="1">
      <c r="A207" s="17">
        <v>202</v>
      </c>
      <c r="B207" s="18" t="s">
        <v>171</v>
      </c>
      <c r="C207" s="19">
        <v>303201610228</v>
      </c>
      <c r="D207" s="20">
        <f>2401830.06/1000</f>
        <v>2401.8300600000002</v>
      </c>
      <c r="E207" s="20"/>
    </row>
    <row r="208" spans="1:5" s="16" customFormat="1">
      <c r="A208" s="17">
        <v>203</v>
      </c>
      <c r="B208" s="18" t="s">
        <v>165</v>
      </c>
      <c r="C208" s="19">
        <v>1208201510071</v>
      </c>
      <c r="D208" s="20">
        <f>2303549.66/1000</f>
        <v>2303.5496600000001</v>
      </c>
      <c r="E208" s="20"/>
    </row>
    <row r="209" spans="1:5" s="16" customFormat="1">
      <c r="A209" s="17">
        <v>204</v>
      </c>
      <c r="B209" s="18" t="s">
        <v>477</v>
      </c>
      <c r="C209" s="19">
        <v>1905201410142</v>
      </c>
      <c r="D209" s="20">
        <f>2310886/1000</f>
        <v>2310.886</v>
      </c>
      <c r="E209" s="20"/>
    </row>
    <row r="210" spans="1:5" s="16" customFormat="1">
      <c r="A210" s="17">
        <v>205</v>
      </c>
      <c r="B210" s="18" t="s">
        <v>112</v>
      </c>
      <c r="C210" s="19">
        <v>1609200910198</v>
      </c>
      <c r="D210" s="20">
        <f>2247091.73/1000</f>
        <v>2247.0917300000001</v>
      </c>
      <c r="E210" s="20"/>
    </row>
    <row r="211" spans="1:5" s="16" customFormat="1">
      <c r="A211" s="17">
        <v>206</v>
      </c>
      <c r="B211" s="18" t="s">
        <v>487</v>
      </c>
      <c r="C211" s="19">
        <v>2208201410192</v>
      </c>
      <c r="D211" s="20">
        <f>2236327.85/1000</f>
        <v>2236.3278500000001</v>
      </c>
      <c r="E211" s="20"/>
    </row>
    <row r="212" spans="1:5" s="16" customFormat="1">
      <c r="A212" s="17">
        <v>207</v>
      </c>
      <c r="B212" s="18" t="s">
        <v>1938</v>
      </c>
      <c r="C212" s="19">
        <v>806202110145</v>
      </c>
      <c r="D212" s="20">
        <f>2187033.25/1000</f>
        <v>2187.03325</v>
      </c>
      <c r="E212" s="20"/>
    </row>
    <row r="213" spans="1:5" s="16" customFormat="1">
      <c r="A213" s="17">
        <v>208</v>
      </c>
      <c r="B213" s="18" t="s">
        <v>2765</v>
      </c>
      <c r="C213" s="19">
        <v>1401200810072</v>
      </c>
      <c r="D213" s="20">
        <f>2157936.45/1000</f>
        <v>2157.9364500000001</v>
      </c>
      <c r="E213" s="20"/>
    </row>
    <row r="214" spans="1:5" s="16" customFormat="1">
      <c r="A214" s="17">
        <v>209</v>
      </c>
      <c r="B214" s="18" t="s">
        <v>170</v>
      </c>
      <c r="C214" s="19">
        <v>303201810265</v>
      </c>
      <c r="D214" s="20">
        <f>2146478.62/1000</f>
        <v>2146.4786200000003</v>
      </c>
      <c r="E214" s="20"/>
    </row>
    <row r="215" spans="1:5" s="16" customFormat="1">
      <c r="A215" s="17">
        <v>210</v>
      </c>
      <c r="B215" s="18" t="s">
        <v>1143</v>
      </c>
      <c r="C215" s="19">
        <v>1601201910302</v>
      </c>
      <c r="D215" s="20">
        <f>2144360.87/1000</f>
        <v>2144.36087</v>
      </c>
      <c r="E215" s="20"/>
    </row>
    <row r="216" spans="1:5" s="16" customFormat="1">
      <c r="A216" s="17">
        <v>211</v>
      </c>
      <c r="B216" s="18" t="s">
        <v>1144</v>
      </c>
      <c r="C216" s="19">
        <v>106201510284</v>
      </c>
      <c r="D216" s="20">
        <f>2126115.99/1000</f>
        <v>2126.1159900000002</v>
      </c>
      <c r="E216" s="20"/>
    </row>
    <row r="217" spans="1:5" s="16" customFormat="1">
      <c r="A217" s="17">
        <v>212</v>
      </c>
      <c r="B217" s="18" t="s">
        <v>505</v>
      </c>
      <c r="C217" s="19">
        <v>1110201110106</v>
      </c>
      <c r="D217" s="20">
        <f>2103913.51/1000</f>
        <v>2103.9135099999999</v>
      </c>
      <c r="E217" s="20"/>
    </row>
    <row r="218" spans="1:5" s="16" customFormat="1">
      <c r="A218" s="17">
        <v>213</v>
      </c>
      <c r="B218" s="18" t="s">
        <v>541</v>
      </c>
      <c r="C218" s="19">
        <v>709201010268</v>
      </c>
      <c r="D218" s="20">
        <f>2097120.13/1000</f>
        <v>2097.1201299999998</v>
      </c>
      <c r="E218" s="20"/>
    </row>
    <row r="219" spans="1:5" s="16" customFormat="1">
      <c r="A219" s="17">
        <v>214</v>
      </c>
      <c r="B219" s="18" t="s">
        <v>2766</v>
      </c>
      <c r="C219" s="19">
        <v>1207201010063</v>
      </c>
      <c r="D219" s="20">
        <f>2095883.63/1000</f>
        <v>2095.8836299999998</v>
      </c>
      <c r="E219" s="20"/>
    </row>
    <row r="220" spans="1:5" s="16" customFormat="1">
      <c r="A220" s="17">
        <v>215</v>
      </c>
      <c r="B220" s="18" t="s">
        <v>2767</v>
      </c>
      <c r="C220" s="19">
        <v>1612201110063</v>
      </c>
      <c r="D220" s="20">
        <f>2067861.35/1000</f>
        <v>2067.8613500000001</v>
      </c>
      <c r="E220" s="20"/>
    </row>
    <row r="221" spans="1:5" s="16" customFormat="1">
      <c r="A221" s="17">
        <v>216</v>
      </c>
      <c r="B221" s="18" t="s">
        <v>512</v>
      </c>
      <c r="C221" s="19">
        <v>806201010035</v>
      </c>
      <c r="D221" s="20">
        <f>2065466.66/1000</f>
        <v>2065.46666</v>
      </c>
      <c r="E221" s="20"/>
    </row>
    <row r="222" spans="1:5" s="16" customFormat="1">
      <c r="A222" s="17">
        <v>217</v>
      </c>
      <c r="B222" s="18" t="s">
        <v>150</v>
      </c>
      <c r="C222" s="19">
        <v>21512199201066</v>
      </c>
      <c r="D222" s="20">
        <f>2054194/1000</f>
        <v>2054.194</v>
      </c>
      <c r="E222" s="20"/>
    </row>
    <row r="223" spans="1:5" s="16" customFormat="1">
      <c r="A223" s="17">
        <v>218</v>
      </c>
      <c r="B223" s="18" t="s">
        <v>156</v>
      </c>
      <c r="C223" s="19">
        <v>22011199301586</v>
      </c>
      <c r="D223" s="20">
        <f>2181354.44/1000</f>
        <v>2181.3544400000001</v>
      </c>
      <c r="E223" s="20"/>
    </row>
    <row r="224" spans="1:5" s="16" customFormat="1">
      <c r="A224" s="17">
        <v>219</v>
      </c>
      <c r="B224" s="18" t="s">
        <v>168</v>
      </c>
      <c r="C224" s="19">
        <v>2905201410129</v>
      </c>
      <c r="D224" s="20">
        <f>2019091.56/1000</f>
        <v>2019.0915600000001</v>
      </c>
      <c r="E224" s="20"/>
    </row>
    <row r="225" spans="1:5" s="16" customFormat="1">
      <c r="A225" s="17">
        <v>220</v>
      </c>
      <c r="B225" s="18" t="s">
        <v>1940</v>
      </c>
      <c r="C225" s="19">
        <v>706202310416</v>
      </c>
      <c r="D225" s="20">
        <f>2072791.84/1000</f>
        <v>2072.7918399999999</v>
      </c>
      <c r="E225" s="20"/>
    </row>
    <row r="226" spans="1:5" s="16" customFormat="1">
      <c r="A226" s="17">
        <v>221</v>
      </c>
      <c r="B226" s="18" t="s">
        <v>1939</v>
      </c>
      <c r="C226" s="19">
        <v>2406201510245</v>
      </c>
      <c r="D226" s="20">
        <f>1986121.59/1000</f>
        <v>1986.1215900000002</v>
      </c>
      <c r="E226" s="20"/>
    </row>
    <row r="227" spans="1:5" s="16" customFormat="1">
      <c r="A227" s="17">
        <v>222</v>
      </c>
      <c r="B227" s="18" t="s">
        <v>2768</v>
      </c>
      <c r="C227" s="19">
        <v>1502201010186</v>
      </c>
      <c r="D227" s="20">
        <f>1979357.11/1000</f>
        <v>1979.3571100000001</v>
      </c>
      <c r="E227" s="20"/>
    </row>
    <row r="228" spans="1:5" s="16" customFormat="1">
      <c r="A228" s="17">
        <v>223</v>
      </c>
      <c r="B228" s="18" t="s">
        <v>1147</v>
      </c>
      <c r="C228" s="19">
        <v>2602201610177</v>
      </c>
      <c r="D228" s="20">
        <f>1968373.21/1000</f>
        <v>1968.37321</v>
      </c>
      <c r="E228" s="20"/>
    </row>
    <row r="229" spans="1:5" s="16" customFormat="1">
      <c r="A229" s="17">
        <v>224</v>
      </c>
      <c r="B229" s="18" t="s">
        <v>1150</v>
      </c>
      <c r="C229" s="19">
        <v>901202310167</v>
      </c>
      <c r="D229" s="20">
        <f>1945696.68/1000</f>
        <v>1945.69668</v>
      </c>
      <c r="E229" s="20"/>
    </row>
    <row r="230" spans="1:5" s="16" customFormat="1">
      <c r="A230" s="17">
        <v>225</v>
      </c>
      <c r="B230" s="18" t="s">
        <v>2396</v>
      </c>
      <c r="C230" s="19">
        <v>306202010079</v>
      </c>
      <c r="D230" s="20">
        <f>1901077.65/1000</f>
        <v>1901.0776499999999</v>
      </c>
      <c r="E230" s="20"/>
    </row>
    <row r="231" spans="1:5" s="16" customFormat="1">
      <c r="A231" s="17">
        <v>226</v>
      </c>
      <c r="B231" s="18" t="s">
        <v>1151</v>
      </c>
      <c r="C231" s="19">
        <v>22007197600364</v>
      </c>
      <c r="D231" s="20">
        <f>1891918/1000</f>
        <v>1891.9179999999999</v>
      </c>
      <c r="E231" s="20"/>
    </row>
    <row r="232" spans="1:5" s="16" customFormat="1">
      <c r="A232" s="17">
        <v>227</v>
      </c>
      <c r="B232" s="18" t="s">
        <v>540</v>
      </c>
      <c r="C232" s="19">
        <v>1309201110063</v>
      </c>
      <c r="D232" s="20">
        <f>1889979.22/1000</f>
        <v>1889.9792199999999</v>
      </c>
      <c r="E232" s="20"/>
    </row>
    <row r="233" spans="1:5" s="16" customFormat="1">
      <c r="A233" s="17">
        <v>228</v>
      </c>
      <c r="B233" s="18" t="s">
        <v>2779</v>
      </c>
      <c r="C233" s="19">
        <v>1701200110086</v>
      </c>
      <c r="D233" s="20">
        <f>1884180.36/1000</f>
        <v>1884.1803600000001</v>
      </c>
      <c r="E233" s="20"/>
    </row>
    <row r="234" spans="1:5" s="16" customFormat="1">
      <c r="A234" s="17">
        <v>229</v>
      </c>
      <c r="B234" s="18" t="s">
        <v>2769</v>
      </c>
      <c r="C234" s="19">
        <v>2311200710112</v>
      </c>
      <c r="D234" s="20">
        <f>1855389/1000</f>
        <v>1855.3889999999999</v>
      </c>
      <c r="E234" s="20"/>
    </row>
    <row r="235" spans="1:5" s="16" customFormat="1">
      <c r="A235" s="17">
        <v>230</v>
      </c>
      <c r="B235" s="18" t="s">
        <v>1148</v>
      </c>
      <c r="C235" s="19">
        <v>702201410113</v>
      </c>
      <c r="D235" s="20">
        <f>1844013.02/1000</f>
        <v>1844.0130200000001</v>
      </c>
      <c r="E235" s="20"/>
    </row>
    <row r="236" spans="1:5" s="16" customFormat="1">
      <c r="A236" s="17">
        <v>231</v>
      </c>
      <c r="B236" s="18" t="s">
        <v>478</v>
      </c>
      <c r="C236" s="19">
        <v>2907199810105</v>
      </c>
      <c r="D236" s="20">
        <f>1823394.74/1000</f>
        <v>1823.39474</v>
      </c>
      <c r="E236" s="20"/>
    </row>
    <row r="237" spans="1:5" s="16" customFormat="1">
      <c r="A237" s="17">
        <v>232</v>
      </c>
      <c r="B237" s="18" t="s">
        <v>175</v>
      </c>
      <c r="C237" s="19">
        <v>2303201210203</v>
      </c>
      <c r="D237" s="20">
        <f>1804095.73/1000</f>
        <v>1804.09573</v>
      </c>
      <c r="E237" s="20"/>
    </row>
    <row r="238" spans="1:5" s="16" customFormat="1">
      <c r="A238" s="17">
        <v>233</v>
      </c>
      <c r="B238" s="18" t="s">
        <v>158</v>
      </c>
      <c r="C238" s="19">
        <v>20907198600160</v>
      </c>
      <c r="D238" s="20">
        <f>1792656.49/1000</f>
        <v>1792.6564900000001</v>
      </c>
      <c r="E238" s="20"/>
    </row>
    <row r="239" spans="1:5" s="16" customFormat="1">
      <c r="A239" s="17">
        <v>234</v>
      </c>
      <c r="B239" s="18" t="s">
        <v>452</v>
      </c>
      <c r="C239" s="19">
        <v>1108201010065</v>
      </c>
      <c r="D239" s="20">
        <f>1783438.04/1000</f>
        <v>1783.43804</v>
      </c>
      <c r="E239" s="20"/>
    </row>
    <row r="240" spans="1:5" s="16" customFormat="1">
      <c r="A240" s="17">
        <v>235</v>
      </c>
      <c r="B240" s="18" t="s">
        <v>498</v>
      </c>
      <c r="C240" s="19">
        <v>2412201010061</v>
      </c>
      <c r="D240" s="20">
        <f>1689279.35/1000</f>
        <v>1689.27935</v>
      </c>
      <c r="E240" s="20"/>
    </row>
    <row r="241" spans="1:5" s="16" customFormat="1">
      <c r="A241" s="17">
        <v>236</v>
      </c>
      <c r="B241" s="18" t="s">
        <v>454</v>
      </c>
      <c r="C241" s="19">
        <v>801201810081</v>
      </c>
      <c r="D241" s="20">
        <f>1671257.56/1000</f>
        <v>1671.25756</v>
      </c>
      <c r="E241" s="20"/>
    </row>
    <row r="242" spans="1:5" s="16" customFormat="1">
      <c r="A242" s="17">
        <v>237</v>
      </c>
      <c r="B242" s="18" t="s">
        <v>2398</v>
      </c>
      <c r="C242" s="19">
        <v>2207201410027</v>
      </c>
      <c r="D242" s="20">
        <f>1663907.31/1000</f>
        <v>1663.9073100000001</v>
      </c>
      <c r="E242" s="20"/>
    </row>
    <row r="243" spans="1:5" s="16" customFormat="1">
      <c r="A243" s="17">
        <v>238</v>
      </c>
      <c r="B243" s="18" t="s">
        <v>2770</v>
      </c>
      <c r="C243" s="19">
        <v>906200410018</v>
      </c>
      <c r="D243" s="20">
        <f>1636410.89/1000</f>
        <v>1636.4108899999999</v>
      </c>
      <c r="E243" s="20"/>
    </row>
    <row r="244" spans="1:5" s="16" customFormat="1">
      <c r="A244" s="17">
        <v>239</v>
      </c>
      <c r="B244" s="18" t="s">
        <v>2771</v>
      </c>
      <c r="C244" s="19">
        <v>3012200910028</v>
      </c>
      <c r="D244" s="20">
        <f>1605353.18/1000</f>
        <v>1605.3531799999998</v>
      </c>
      <c r="E244" s="20"/>
    </row>
    <row r="245" spans="1:5" s="16" customFormat="1">
      <c r="A245" s="17">
        <v>240</v>
      </c>
      <c r="B245" s="18" t="s">
        <v>2780</v>
      </c>
      <c r="C245" s="19">
        <v>3011202110356</v>
      </c>
      <c r="D245" s="20">
        <f>1604985.99/1000</f>
        <v>1604.9859899999999</v>
      </c>
      <c r="E245" s="20"/>
    </row>
    <row r="246" spans="1:5" s="16" customFormat="1">
      <c r="A246" s="17">
        <v>241</v>
      </c>
      <c r="B246" s="18" t="s">
        <v>2406</v>
      </c>
      <c r="C246" s="19">
        <v>2808201410219</v>
      </c>
      <c r="D246" s="20">
        <f>1594117.99/1000</f>
        <v>1594.11799</v>
      </c>
      <c r="E246" s="20"/>
    </row>
    <row r="247" spans="1:5" s="16" customFormat="1">
      <c r="A247" s="17">
        <v>242</v>
      </c>
      <c r="B247" s="18" t="s">
        <v>741</v>
      </c>
      <c r="C247" s="19">
        <v>1304201110086</v>
      </c>
      <c r="D247" s="20">
        <f>1585760/1000</f>
        <v>1585.76</v>
      </c>
      <c r="E247" s="20"/>
    </row>
    <row r="248" spans="1:5" s="16" customFormat="1">
      <c r="A248" s="17">
        <v>243</v>
      </c>
      <c r="B248" s="18" t="s">
        <v>2781</v>
      </c>
      <c r="C248" s="19">
        <v>2006201610064</v>
      </c>
      <c r="D248" s="20">
        <f>1399643.19/1000</f>
        <v>1399.64319</v>
      </c>
      <c r="E248" s="20"/>
    </row>
    <row r="249" spans="1:5" s="16" customFormat="1">
      <c r="A249" s="17">
        <v>244</v>
      </c>
      <c r="B249" s="18" t="s">
        <v>491</v>
      </c>
      <c r="C249" s="19">
        <v>2612201410337</v>
      </c>
      <c r="D249" s="20">
        <f>1380617.01/1000</f>
        <v>1380.6170099999999</v>
      </c>
      <c r="E249" s="20"/>
    </row>
    <row r="250" spans="1:5" s="16" customFormat="1">
      <c r="A250" s="17">
        <v>245</v>
      </c>
      <c r="B250" s="18" t="s">
        <v>157</v>
      </c>
      <c r="C250" s="19">
        <v>22605199701821</v>
      </c>
      <c r="D250" s="20">
        <f>1368952/1000</f>
        <v>1368.952</v>
      </c>
      <c r="E250" s="20"/>
    </row>
    <row r="251" spans="1:5" s="16" customFormat="1">
      <c r="A251" s="17">
        <v>246</v>
      </c>
      <c r="B251" s="18" t="s">
        <v>1593</v>
      </c>
      <c r="C251" s="19">
        <v>22904199000562</v>
      </c>
      <c r="D251" s="20">
        <f>1365840/1000</f>
        <v>1365.84</v>
      </c>
      <c r="E251" s="20"/>
    </row>
    <row r="252" spans="1:5" s="16" customFormat="1">
      <c r="A252" s="17">
        <v>247</v>
      </c>
      <c r="B252" s="18" t="s">
        <v>2705</v>
      </c>
      <c r="C252" s="19">
        <v>1608201710081</v>
      </c>
      <c r="D252" s="20">
        <f>1343479.59/1000</f>
        <v>1343.4795900000001</v>
      </c>
      <c r="E252" s="20"/>
    </row>
    <row r="253" spans="1:5" s="16" customFormat="1">
      <c r="A253" s="17">
        <v>248</v>
      </c>
      <c r="B253" s="18" t="s">
        <v>2782</v>
      </c>
      <c r="C253" s="19">
        <v>1307202210309</v>
      </c>
      <c r="D253" s="20">
        <f>1313994.65/1000</f>
        <v>1313.9946499999999</v>
      </c>
      <c r="E253" s="20"/>
    </row>
    <row r="254" spans="1:5" s="16" customFormat="1">
      <c r="A254" s="17">
        <v>249</v>
      </c>
      <c r="B254" s="18" t="s">
        <v>448</v>
      </c>
      <c r="C254" s="19">
        <v>2205200910212</v>
      </c>
      <c r="D254" s="20">
        <f>1312760/1000</f>
        <v>1312.76</v>
      </c>
      <c r="E254" s="20"/>
    </row>
    <row r="255" spans="1:5" s="16" customFormat="1">
      <c r="A255" s="17">
        <v>250</v>
      </c>
      <c r="B255" s="18" t="s">
        <v>152</v>
      </c>
      <c r="C255" s="19">
        <v>1206201910266</v>
      </c>
      <c r="D255" s="20">
        <f>1298106/1000</f>
        <v>1298.106</v>
      </c>
      <c r="E255" s="20"/>
    </row>
    <row r="256" spans="1:5" s="16" customFormat="1">
      <c r="A256" s="17">
        <v>251</v>
      </c>
      <c r="B256" s="18" t="s">
        <v>516</v>
      </c>
      <c r="C256" s="19">
        <v>1902201510236</v>
      </c>
      <c r="D256" s="20">
        <f>1273571.27/1000</f>
        <v>1273.5712699999999</v>
      </c>
      <c r="E256" s="20"/>
    </row>
    <row r="257" spans="1:5" s="16" customFormat="1">
      <c r="A257" s="17">
        <v>252</v>
      </c>
      <c r="B257" s="18" t="s">
        <v>2399</v>
      </c>
      <c r="C257" s="19">
        <v>304201510150</v>
      </c>
      <c r="D257" s="20">
        <f>1272404.31/1000</f>
        <v>1272.4043100000001</v>
      </c>
      <c r="E257" s="20"/>
    </row>
    <row r="258" spans="1:5" s="16" customFormat="1">
      <c r="A258" s="17">
        <v>253</v>
      </c>
      <c r="B258" s="18" t="s">
        <v>151</v>
      </c>
      <c r="C258" s="19">
        <v>2409201310049</v>
      </c>
      <c r="D258" s="20">
        <f>1272862.38/1000</f>
        <v>1272.8623799999998</v>
      </c>
      <c r="E258" s="20"/>
    </row>
    <row r="259" spans="1:5" s="16" customFormat="1">
      <c r="A259" s="17">
        <v>254</v>
      </c>
      <c r="B259" s="18" t="s">
        <v>684</v>
      </c>
      <c r="C259" s="19">
        <v>22911197000196</v>
      </c>
      <c r="D259" s="20">
        <f>1266656.65/1000</f>
        <v>1266.6566499999999</v>
      </c>
      <c r="E259" s="20"/>
    </row>
    <row r="260" spans="1:5" s="16" customFormat="1">
      <c r="A260" s="17">
        <v>255</v>
      </c>
      <c r="B260" s="18" t="s">
        <v>2783</v>
      </c>
      <c r="C260" s="19">
        <v>1212202210567</v>
      </c>
      <c r="D260" s="20">
        <f>1346437.21/1000</f>
        <v>1346.4372100000001</v>
      </c>
      <c r="E260" s="20"/>
    </row>
    <row r="261" spans="1:5" s="16" customFormat="1">
      <c r="A261" s="17">
        <v>256</v>
      </c>
      <c r="B261" s="18" t="s">
        <v>172</v>
      </c>
      <c r="C261" s="19">
        <v>2109201610147</v>
      </c>
      <c r="D261" s="20">
        <f>1254124.2/1000</f>
        <v>1254.1242</v>
      </c>
      <c r="E261" s="20"/>
    </row>
    <row r="262" spans="1:5" s="16" customFormat="1">
      <c r="A262" s="17">
        <v>257</v>
      </c>
      <c r="B262" s="18" t="s">
        <v>1152</v>
      </c>
      <c r="C262" s="19">
        <v>21702199400331</v>
      </c>
      <c r="D262" s="20">
        <f>1234751.1/1000</f>
        <v>1234.7511000000002</v>
      </c>
      <c r="E262" s="20"/>
    </row>
    <row r="263" spans="1:5" s="16" customFormat="1">
      <c r="A263" s="17">
        <v>258</v>
      </c>
      <c r="B263" s="18" t="s">
        <v>2400</v>
      </c>
      <c r="C263" s="19">
        <v>910201810259</v>
      </c>
      <c r="D263" s="20">
        <f>1219591.75/1000</f>
        <v>1219.59175</v>
      </c>
      <c r="E263" s="20"/>
    </row>
    <row r="264" spans="1:5" s="16" customFormat="1">
      <c r="A264" s="17">
        <v>259</v>
      </c>
      <c r="B264" s="18" t="s">
        <v>2772</v>
      </c>
      <c r="C264" s="19">
        <v>22903199000924</v>
      </c>
      <c r="D264" s="20">
        <f>1203393.87/1000</f>
        <v>1203.3938700000001</v>
      </c>
      <c r="E264" s="20"/>
    </row>
    <row r="265" spans="1:5" s="16" customFormat="1">
      <c r="A265" s="17">
        <v>260</v>
      </c>
      <c r="B265" s="18" t="s">
        <v>1595</v>
      </c>
      <c r="C265" s="19">
        <v>1101201310083</v>
      </c>
      <c r="D265" s="20">
        <f>1194997.35/1000</f>
        <v>1194.9973500000001</v>
      </c>
      <c r="E265" s="20"/>
    </row>
    <row r="266" spans="1:5" s="16" customFormat="1">
      <c r="A266" s="17">
        <v>261</v>
      </c>
      <c r="B266" s="18" t="s">
        <v>502</v>
      </c>
      <c r="C266" s="19">
        <v>1006201010022</v>
      </c>
      <c r="D266" s="20">
        <f>1177761.39/1000</f>
        <v>1177.7613899999999</v>
      </c>
      <c r="E266" s="20"/>
    </row>
    <row r="267" spans="1:5" s="16" customFormat="1">
      <c r="A267" s="17">
        <v>262</v>
      </c>
      <c r="B267" s="18" t="s">
        <v>2773</v>
      </c>
      <c r="C267" s="19">
        <v>2304201210121</v>
      </c>
      <c r="D267" s="20">
        <f>1168796.98/1000</f>
        <v>1168.7969800000001</v>
      </c>
      <c r="E267" s="20"/>
    </row>
    <row r="268" spans="1:5" s="16" customFormat="1">
      <c r="A268" s="17">
        <v>263</v>
      </c>
      <c r="B268" s="18" t="s">
        <v>1146</v>
      </c>
      <c r="C268" s="19">
        <v>2607201910198</v>
      </c>
      <c r="D268" s="20">
        <f>1196041.93/1000</f>
        <v>1196.0419299999999</v>
      </c>
      <c r="E268" s="20"/>
    </row>
    <row r="269" spans="1:5" s="16" customFormat="1">
      <c r="A269" s="17">
        <v>264</v>
      </c>
      <c r="B269" s="18" t="s">
        <v>2784</v>
      </c>
      <c r="C269" s="19">
        <v>502200310214</v>
      </c>
      <c r="D269" s="20">
        <f>1143400.22/1000</f>
        <v>1143.40022</v>
      </c>
      <c r="E269" s="20"/>
    </row>
    <row r="270" spans="1:5" s="16" customFormat="1">
      <c r="A270" s="17">
        <v>265</v>
      </c>
      <c r="B270" s="18" t="s">
        <v>2785</v>
      </c>
      <c r="C270" s="19">
        <v>204199710044</v>
      </c>
      <c r="D270" s="20">
        <f>1128826.66/1000</f>
        <v>1128.8266599999999</v>
      </c>
      <c r="E270" s="20"/>
    </row>
    <row r="271" spans="1:5" s="16" customFormat="1">
      <c r="A271" s="17">
        <v>266</v>
      </c>
      <c r="B271" s="18" t="s">
        <v>1596</v>
      </c>
      <c r="C271" s="19">
        <v>11512197700667</v>
      </c>
      <c r="D271" s="20">
        <f>1124823.81/1000</f>
        <v>1124.8238100000001</v>
      </c>
      <c r="E271" s="20"/>
    </row>
    <row r="272" spans="1:5" s="16" customFormat="1">
      <c r="A272" s="17">
        <v>267</v>
      </c>
      <c r="B272" s="18" t="s">
        <v>2774</v>
      </c>
      <c r="C272" s="19">
        <v>1409200710163</v>
      </c>
      <c r="D272" s="20">
        <f>1135174.92/1000</f>
        <v>1135.1749199999999</v>
      </c>
      <c r="E272" s="20"/>
    </row>
    <row r="273" spans="1:5" s="16" customFormat="1">
      <c r="A273" s="17">
        <v>268</v>
      </c>
      <c r="B273" s="18" t="s">
        <v>2786</v>
      </c>
      <c r="C273" s="19">
        <v>710201510233</v>
      </c>
      <c r="D273" s="20">
        <f>1111774.62/1000</f>
        <v>1111.7746200000001</v>
      </c>
      <c r="E273" s="20"/>
    </row>
    <row r="274" spans="1:5" s="16" customFormat="1">
      <c r="A274" s="17">
        <v>269</v>
      </c>
      <c r="B274" s="18" t="s">
        <v>2775</v>
      </c>
      <c r="C274" s="19">
        <v>2602200710270</v>
      </c>
      <c r="D274" s="20">
        <f>1073588.22/1000</f>
        <v>1073.5882199999999</v>
      </c>
      <c r="E274" s="20"/>
    </row>
    <row r="275" spans="1:5" s="16" customFormat="1">
      <c r="A275" s="17">
        <v>270</v>
      </c>
      <c r="B275" s="18" t="s">
        <v>1684</v>
      </c>
      <c r="C275" s="19">
        <v>312200910300</v>
      </c>
      <c r="D275" s="20">
        <f>1077431.92/1000</f>
        <v>1077.43192</v>
      </c>
      <c r="E275" s="20"/>
    </row>
    <row r="276" spans="1:5" s="16" customFormat="1">
      <c r="A276" s="17">
        <v>271</v>
      </c>
      <c r="B276" s="18" t="s">
        <v>176</v>
      </c>
      <c r="C276" s="19">
        <v>22601200000817</v>
      </c>
      <c r="D276" s="20">
        <f>1056330/1000</f>
        <v>1056.33</v>
      </c>
      <c r="E276" s="20"/>
    </row>
    <row r="277" spans="1:5" s="16" customFormat="1">
      <c r="A277" s="17">
        <v>272</v>
      </c>
      <c r="B277" s="18" t="s">
        <v>1594</v>
      </c>
      <c r="C277" s="19">
        <v>11212195200525</v>
      </c>
      <c r="D277" s="20">
        <f>1059283.95/1000</f>
        <v>1059.28395</v>
      </c>
      <c r="E277" s="20"/>
    </row>
    <row r="278" spans="1:5" s="16" customFormat="1">
      <c r="A278" s="17">
        <v>273</v>
      </c>
      <c r="B278" s="18" t="s">
        <v>544</v>
      </c>
      <c r="C278" s="19">
        <v>10704194800080</v>
      </c>
      <c r="D278" s="20">
        <f>1055366.23/1000</f>
        <v>1055.3662300000001</v>
      </c>
      <c r="E278" s="20"/>
    </row>
    <row r="279" spans="1:5" s="16" customFormat="1">
      <c r="A279" s="17">
        <v>274</v>
      </c>
      <c r="B279" s="18" t="s">
        <v>685</v>
      </c>
      <c r="C279" s="19">
        <v>2110200910032</v>
      </c>
      <c r="D279" s="20">
        <f>1079231.32/1000</f>
        <v>1079.2313200000001</v>
      </c>
      <c r="E279" s="20"/>
    </row>
    <row r="280" spans="1:5" s="16" customFormat="1" ht="31.5">
      <c r="A280" s="17">
        <v>275</v>
      </c>
      <c r="B280" s="18" t="s">
        <v>2407</v>
      </c>
      <c r="C280" s="19">
        <v>40206201710070</v>
      </c>
      <c r="D280" s="20">
        <f>1040213.4/1000</f>
        <v>1040.2134000000001</v>
      </c>
      <c r="E280" s="20"/>
    </row>
    <row r="281" spans="1:5" s="16" customFormat="1">
      <c r="A281" s="17">
        <v>276</v>
      </c>
      <c r="B281" s="18" t="s">
        <v>167</v>
      </c>
      <c r="C281" s="19">
        <v>409201810150</v>
      </c>
      <c r="D281" s="20">
        <f>1032677.01/1000</f>
        <v>1032.6770100000001</v>
      </c>
      <c r="E281" s="20"/>
    </row>
    <row r="282" spans="1:5" s="16" customFormat="1">
      <c r="A282" s="17">
        <v>277</v>
      </c>
      <c r="B282" s="18" t="s">
        <v>159</v>
      </c>
      <c r="C282" s="19">
        <v>23105199200878</v>
      </c>
      <c r="D282" s="20">
        <f>1020478/1000</f>
        <v>1020.478</v>
      </c>
      <c r="E282" s="20"/>
    </row>
    <row r="283" spans="1:5" s="16" customFormat="1">
      <c r="A283" s="17">
        <v>278</v>
      </c>
      <c r="B283" s="18" t="s">
        <v>949</v>
      </c>
      <c r="C283" s="19">
        <v>22306198500444</v>
      </c>
      <c r="D283" s="20">
        <f>1004218.96/1000</f>
        <v>1004.2189599999999</v>
      </c>
      <c r="E283" s="20"/>
    </row>
    <row r="284" spans="1:5" s="16" customFormat="1">
      <c r="A284" s="17">
        <v>279</v>
      </c>
      <c r="B284" s="18" t="s">
        <v>153</v>
      </c>
      <c r="C284" s="19">
        <v>2412201410064</v>
      </c>
      <c r="D284" s="20">
        <f>1012204.55/1000</f>
        <v>1012.20455</v>
      </c>
      <c r="E284" s="20"/>
    </row>
    <row r="285" spans="1:5" s="16" customFormat="1">
      <c r="A285" s="17">
        <v>280</v>
      </c>
      <c r="B285" s="18" t="s">
        <v>492</v>
      </c>
      <c r="C285" s="19">
        <v>2212201110166</v>
      </c>
      <c r="D285" s="20">
        <f>992122.31/1000</f>
        <v>992.12231000000008</v>
      </c>
      <c r="E285" s="20"/>
    </row>
    <row r="286" spans="1:5" s="16" customFormat="1">
      <c r="A286" s="17">
        <v>281</v>
      </c>
      <c r="B286" s="18" t="s">
        <v>1079</v>
      </c>
      <c r="C286" s="19">
        <v>23108199101658</v>
      </c>
      <c r="D286" s="20">
        <f>978748.29/1000</f>
        <v>978.74829</v>
      </c>
      <c r="E286" s="20"/>
    </row>
    <row r="287" spans="1:5" s="16" customFormat="1">
      <c r="A287" s="17">
        <v>282</v>
      </c>
      <c r="B287" s="18" t="s">
        <v>2401</v>
      </c>
      <c r="C287" s="19">
        <v>11210197400818</v>
      </c>
      <c r="D287" s="20">
        <f>971100/1000</f>
        <v>971.1</v>
      </c>
      <c r="E287" s="20"/>
    </row>
    <row r="288" spans="1:5" s="16" customFormat="1">
      <c r="A288" s="17">
        <v>283</v>
      </c>
      <c r="B288" s="18" t="s">
        <v>2706</v>
      </c>
      <c r="C288" s="19">
        <v>10808196600915</v>
      </c>
      <c r="D288" s="20">
        <f>966521.76/1000</f>
        <v>966.52175999999997</v>
      </c>
      <c r="E288" s="20"/>
    </row>
    <row r="289" spans="1:5" s="16" customFormat="1">
      <c r="A289" s="17">
        <v>284</v>
      </c>
      <c r="B289" s="18" t="s">
        <v>1685</v>
      </c>
      <c r="C289" s="19">
        <v>12408196600019</v>
      </c>
      <c r="D289" s="20">
        <f>958070.77/1000</f>
        <v>958.07077000000004</v>
      </c>
      <c r="E289" s="20"/>
    </row>
    <row r="290" spans="1:5" s="16" customFormat="1">
      <c r="A290" s="17">
        <v>285</v>
      </c>
      <c r="B290" s="18" t="s">
        <v>1686</v>
      </c>
      <c r="C290" s="19">
        <v>11908198602065</v>
      </c>
      <c r="D290" s="20">
        <f>957007.13/1000</f>
        <v>957.00712999999996</v>
      </c>
      <c r="E290" s="20"/>
    </row>
    <row r="291" spans="1:5" s="16" customFormat="1">
      <c r="A291" s="17">
        <v>286</v>
      </c>
      <c r="B291" s="18" t="s">
        <v>178</v>
      </c>
      <c r="C291" s="19">
        <v>20302199601182</v>
      </c>
      <c r="D291" s="20">
        <f>1127119.39/1000</f>
        <v>1127.1193899999998</v>
      </c>
      <c r="E291" s="20"/>
    </row>
    <row r="292" spans="1:5" s="16" customFormat="1">
      <c r="A292" s="17">
        <v>287</v>
      </c>
      <c r="B292" s="18" t="s">
        <v>154</v>
      </c>
      <c r="C292" s="19">
        <v>602201010118</v>
      </c>
      <c r="D292" s="20">
        <f>937937.2/1000</f>
        <v>937.93719999999996</v>
      </c>
      <c r="E292" s="20"/>
    </row>
    <row r="293" spans="1:5" s="16" customFormat="1">
      <c r="A293" s="17">
        <v>288</v>
      </c>
      <c r="B293" s="18" t="s">
        <v>2787</v>
      </c>
      <c r="C293" s="19">
        <v>1102200010058</v>
      </c>
      <c r="D293" s="20">
        <f>936269.67/1000</f>
        <v>936.26967000000002</v>
      </c>
      <c r="E293" s="20"/>
    </row>
    <row r="294" spans="1:5" s="16" customFormat="1">
      <c r="A294" s="17">
        <v>289</v>
      </c>
      <c r="B294" s="18" t="s">
        <v>180</v>
      </c>
      <c r="C294" s="19">
        <v>21208197100413</v>
      </c>
      <c r="D294" s="20">
        <f>925021.3/1000</f>
        <v>925.0213</v>
      </c>
      <c r="E294" s="20"/>
    </row>
    <row r="295" spans="1:5" s="16" customFormat="1">
      <c r="A295" s="17">
        <v>290</v>
      </c>
      <c r="B295" s="18" t="s">
        <v>2790</v>
      </c>
      <c r="C295" s="19">
        <v>3112199610138</v>
      </c>
      <c r="D295" s="20">
        <f>933728.43/1000</f>
        <v>933.72843</v>
      </c>
      <c r="E295" s="20"/>
    </row>
    <row r="296" spans="1:5" s="16" customFormat="1">
      <c r="A296" s="17">
        <v>291</v>
      </c>
      <c r="B296" s="18" t="s">
        <v>177</v>
      </c>
      <c r="C296" s="19">
        <v>20506197300555</v>
      </c>
      <c r="D296" s="20">
        <f>921230/1000</f>
        <v>921.23</v>
      </c>
      <c r="E296" s="20"/>
    </row>
    <row r="297" spans="1:5" s="16" customFormat="1">
      <c r="A297" s="17">
        <v>292</v>
      </c>
      <c r="B297" s="18" t="s">
        <v>2788</v>
      </c>
      <c r="C297" s="19">
        <v>1309201110180</v>
      </c>
      <c r="D297" s="20">
        <f>934899.24/1000</f>
        <v>934.89923999999996</v>
      </c>
      <c r="E297" s="20"/>
    </row>
    <row r="298" spans="1:5" s="16" customFormat="1">
      <c r="A298" s="17">
        <v>293</v>
      </c>
      <c r="B298" s="18" t="s">
        <v>2404</v>
      </c>
      <c r="C298" s="19">
        <v>1202202110333</v>
      </c>
      <c r="D298" s="20">
        <f>1581753.11/1000</f>
        <v>1581.7531100000001</v>
      </c>
      <c r="E298" s="20"/>
    </row>
    <row r="299" spans="1:5" s="16" customFormat="1">
      <c r="A299" s="17">
        <v>294</v>
      </c>
      <c r="B299" s="18" t="s">
        <v>2707</v>
      </c>
      <c r="C299" s="19">
        <v>11612200200819</v>
      </c>
      <c r="D299" s="20">
        <f>890040.05/1000</f>
        <v>890.04005000000006</v>
      </c>
      <c r="E299" s="20"/>
    </row>
    <row r="300" spans="1:5" s="16" customFormat="1">
      <c r="A300" s="17">
        <v>295</v>
      </c>
      <c r="B300" s="18" t="s">
        <v>506</v>
      </c>
      <c r="C300" s="19">
        <v>1008201810185</v>
      </c>
      <c r="D300" s="20">
        <f>886662.23/1000</f>
        <v>886.66223000000002</v>
      </c>
      <c r="E300" s="20"/>
    </row>
    <row r="301" spans="1:5" s="16" customFormat="1">
      <c r="A301" s="17">
        <v>296</v>
      </c>
      <c r="B301" s="18" t="s">
        <v>953</v>
      </c>
      <c r="C301" s="19">
        <v>21609198500040</v>
      </c>
      <c r="D301" s="20">
        <f>876950.4/1000</f>
        <v>876.95040000000006</v>
      </c>
      <c r="E301" s="20"/>
    </row>
    <row r="302" spans="1:5" s="16" customFormat="1">
      <c r="A302" s="17">
        <v>297</v>
      </c>
      <c r="B302" s="18" t="s">
        <v>446</v>
      </c>
      <c r="C302" s="19">
        <v>1608201110039</v>
      </c>
      <c r="D302" s="20">
        <f>879979.79/1000</f>
        <v>879.97979000000009</v>
      </c>
      <c r="E302" s="20"/>
    </row>
    <row r="303" spans="1:5" s="16" customFormat="1">
      <c r="A303" s="17">
        <v>298</v>
      </c>
      <c r="B303" s="18" t="s">
        <v>472</v>
      </c>
      <c r="C303" s="19">
        <v>1409202110091</v>
      </c>
      <c r="D303" s="20">
        <f>862253.32/1000</f>
        <v>862.25331999999992</v>
      </c>
      <c r="E303" s="20"/>
    </row>
    <row r="304" spans="1:5" s="16" customFormat="1">
      <c r="A304" s="17">
        <v>299</v>
      </c>
      <c r="B304" s="18" t="s">
        <v>575</v>
      </c>
      <c r="C304" s="19">
        <v>2510202110338</v>
      </c>
      <c r="D304" s="20">
        <f>857603.32/1000</f>
        <v>857.60331999999994</v>
      </c>
      <c r="E304" s="20"/>
    </row>
    <row r="305" spans="1:5" s="16" customFormat="1">
      <c r="A305" s="17">
        <v>300</v>
      </c>
      <c r="B305" s="18" t="s">
        <v>577</v>
      </c>
      <c r="C305" s="19">
        <v>412201910122</v>
      </c>
      <c r="D305" s="20">
        <f>843935.68/1000</f>
        <v>843.93568000000005</v>
      </c>
      <c r="E305" s="20"/>
    </row>
    <row r="306" spans="1:5" s="16" customFormat="1">
      <c r="A306" s="17">
        <v>301</v>
      </c>
      <c r="B306" s="18" t="s">
        <v>493</v>
      </c>
      <c r="C306" s="19">
        <v>1606201610084</v>
      </c>
      <c r="D306" s="20">
        <f>838401.13/1000</f>
        <v>838.40112999999997</v>
      </c>
      <c r="E306" s="20"/>
    </row>
    <row r="307" spans="1:5" s="16" customFormat="1">
      <c r="A307" s="17">
        <v>302</v>
      </c>
      <c r="B307" s="18" t="s">
        <v>459</v>
      </c>
      <c r="C307" s="19">
        <v>1205202110057</v>
      </c>
      <c r="D307" s="20">
        <f>871071.18/1000</f>
        <v>871.07118000000003</v>
      </c>
      <c r="E307" s="20"/>
    </row>
    <row r="308" spans="1:5" s="16" customFormat="1">
      <c r="A308" s="17">
        <v>303</v>
      </c>
      <c r="B308" s="18" t="s">
        <v>2789</v>
      </c>
      <c r="C308" s="19">
        <v>2807202210170</v>
      </c>
      <c r="D308" s="20">
        <f>826622.26/1000</f>
        <v>826.62225999999998</v>
      </c>
      <c r="E308" s="20"/>
    </row>
    <row r="309" spans="1:5" s="16" customFormat="1">
      <c r="A309" s="17">
        <v>304</v>
      </c>
      <c r="B309" s="18" t="s">
        <v>179</v>
      </c>
      <c r="C309" s="19">
        <v>12001195601008</v>
      </c>
      <c r="D309" s="20">
        <f>816981.6/1000</f>
        <v>816.98159999999996</v>
      </c>
      <c r="E309" s="20"/>
    </row>
    <row r="310" spans="1:5" s="16" customFormat="1">
      <c r="A310" s="17">
        <v>305</v>
      </c>
      <c r="B310" s="18" t="s">
        <v>2791</v>
      </c>
      <c r="C310" s="19">
        <v>1602200510043</v>
      </c>
      <c r="D310" s="20">
        <f>847973/1000</f>
        <v>847.97299999999996</v>
      </c>
      <c r="E310" s="20"/>
    </row>
    <row r="311" spans="1:5" s="16" customFormat="1">
      <c r="A311" s="17">
        <v>306</v>
      </c>
      <c r="B311" s="18" t="s">
        <v>449</v>
      </c>
      <c r="C311" s="19">
        <v>1601201010245</v>
      </c>
      <c r="D311" s="20">
        <f>808590/1000</f>
        <v>808.59</v>
      </c>
      <c r="E311" s="20"/>
    </row>
    <row r="312" spans="1:5" s="16" customFormat="1">
      <c r="A312" s="17">
        <v>307</v>
      </c>
      <c r="B312" s="18" t="s">
        <v>2799</v>
      </c>
      <c r="C312" s="19">
        <v>1611199210054</v>
      </c>
      <c r="D312" s="20">
        <f>797738.12/1000</f>
        <v>797.73811999999998</v>
      </c>
      <c r="E312" s="20"/>
    </row>
    <row r="313" spans="1:5" s="16" customFormat="1">
      <c r="A313" s="17">
        <v>308</v>
      </c>
      <c r="B313" s="18" t="s">
        <v>653</v>
      </c>
      <c r="C313" s="19">
        <v>1710201710196</v>
      </c>
      <c r="D313" s="20">
        <f>792377.21/1000</f>
        <v>792.37720999999999</v>
      </c>
      <c r="E313" s="20"/>
    </row>
    <row r="314" spans="1:5" s="16" customFormat="1">
      <c r="A314" s="17">
        <v>309</v>
      </c>
      <c r="B314" s="18" t="s">
        <v>1149</v>
      </c>
      <c r="C314" s="19">
        <v>2202202310227</v>
      </c>
      <c r="D314" s="20">
        <f>790293.9/1000</f>
        <v>790.29390000000001</v>
      </c>
      <c r="E314" s="20"/>
    </row>
    <row r="315" spans="1:5" s="16" customFormat="1">
      <c r="A315" s="17">
        <v>310</v>
      </c>
      <c r="B315" s="18" t="s">
        <v>509</v>
      </c>
      <c r="C315" s="19">
        <v>2501201010229</v>
      </c>
      <c r="D315" s="20">
        <f>787307.8/1000</f>
        <v>787.30780000000004</v>
      </c>
      <c r="E315" s="20"/>
    </row>
    <row r="316" spans="1:5" s="16" customFormat="1">
      <c r="A316" s="17">
        <v>311</v>
      </c>
      <c r="B316" s="18" t="s">
        <v>2708</v>
      </c>
      <c r="C316" s="19">
        <v>10105197201804</v>
      </c>
      <c r="D316" s="20">
        <f>778228.79/1000</f>
        <v>778.22879</v>
      </c>
      <c r="E316" s="20"/>
    </row>
    <row r="317" spans="1:5" s="16" customFormat="1">
      <c r="A317" s="17">
        <v>312</v>
      </c>
      <c r="B317" s="18" t="s">
        <v>1687</v>
      </c>
      <c r="C317" s="19">
        <v>22507198601405</v>
      </c>
      <c r="D317" s="20">
        <f>776400/1000</f>
        <v>776.4</v>
      </c>
      <c r="E317" s="20"/>
    </row>
    <row r="318" spans="1:5" s="16" customFormat="1">
      <c r="A318" s="17">
        <v>313</v>
      </c>
      <c r="B318" s="18" t="s">
        <v>2792</v>
      </c>
      <c r="C318" s="19">
        <v>1801200710149</v>
      </c>
      <c r="D318" s="20">
        <f>773618.93/1000</f>
        <v>773.61893000000009</v>
      </c>
      <c r="E318" s="20"/>
    </row>
    <row r="319" spans="1:5" s="16" customFormat="1">
      <c r="A319" s="17">
        <v>314</v>
      </c>
      <c r="B319" s="18" t="s">
        <v>2798</v>
      </c>
      <c r="C319" s="19">
        <v>42606201310118</v>
      </c>
      <c r="D319" s="20">
        <f>770044.85/1000</f>
        <v>770.04485</v>
      </c>
      <c r="E319" s="20"/>
    </row>
    <row r="320" spans="1:5" s="16" customFormat="1">
      <c r="A320" s="17">
        <v>315</v>
      </c>
      <c r="B320" s="18" t="s">
        <v>652</v>
      </c>
      <c r="C320" s="19">
        <v>1711202010159</v>
      </c>
      <c r="D320" s="20">
        <f>765783.7/1000</f>
        <v>765.78369999999995</v>
      </c>
      <c r="E320" s="20"/>
    </row>
    <row r="321" spans="1:5" s="16" customFormat="1">
      <c r="A321" s="17">
        <v>316</v>
      </c>
      <c r="B321" s="18" t="s">
        <v>2709</v>
      </c>
      <c r="C321" s="19">
        <v>2308201310204</v>
      </c>
      <c r="D321" s="20">
        <f>724527.58/1000</f>
        <v>724.52757999999994</v>
      </c>
      <c r="E321" s="20"/>
    </row>
    <row r="322" spans="1:5" s="16" customFormat="1">
      <c r="A322" s="17">
        <v>317</v>
      </c>
      <c r="B322" s="18" t="s">
        <v>468</v>
      </c>
      <c r="C322" s="19">
        <v>2101201010170</v>
      </c>
      <c r="D322" s="20">
        <f>757152.54/1000</f>
        <v>757.15254000000004</v>
      </c>
      <c r="E322" s="20"/>
    </row>
    <row r="323" spans="1:5" s="16" customFormat="1">
      <c r="A323" s="17">
        <v>318</v>
      </c>
      <c r="B323" s="18" t="s">
        <v>777</v>
      </c>
      <c r="C323" s="19">
        <v>1306201610249</v>
      </c>
      <c r="D323" s="20">
        <f>755869.49/1000</f>
        <v>755.86949000000004</v>
      </c>
      <c r="E323" s="20">
        <v>7436.7</v>
      </c>
    </row>
    <row r="324" spans="1:5" s="16" customFormat="1">
      <c r="A324" s="17">
        <v>319</v>
      </c>
      <c r="B324" s="18" t="s">
        <v>181</v>
      </c>
      <c r="C324" s="19">
        <v>21204199101053</v>
      </c>
      <c r="D324" s="20">
        <f>742292.1/1000</f>
        <v>742.2921</v>
      </c>
      <c r="E324" s="20"/>
    </row>
    <row r="325" spans="1:5" s="16" customFormat="1">
      <c r="A325" s="17">
        <v>320</v>
      </c>
      <c r="B325" s="18" t="s">
        <v>187</v>
      </c>
      <c r="C325" s="19">
        <v>20805198500159</v>
      </c>
      <c r="D325" s="20">
        <f>733248/1000</f>
        <v>733.24800000000005</v>
      </c>
      <c r="E325" s="20"/>
    </row>
    <row r="326" spans="1:5" s="16" customFormat="1">
      <c r="A326" s="17">
        <v>321</v>
      </c>
      <c r="B326" s="18" t="s">
        <v>2793</v>
      </c>
      <c r="C326" s="19">
        <v>410200110029</v>
      </c>
      <c r="D326" s="20">
        <f>729167/1000</f>
        <v>729.16700000000003</v>
      </c>
      <c r="E326" s="20"/>
    </row>
    <row r="327" spans="1:5" s="16" customFormat="1">
      <c r="A327" s="17">
        <v>322</v>
      </c>
      <c r="B327" s="18" t="s">
        <v>2402</v>
      </c>
      <c r="C327" s="19">
        <v>20206198900666</v>
      </c>
      <c r="D327" s="20">
        <f>712780.3/1000</f>
        <v>712.78030000000001</v>
      </c>
      <c r="E327" s="20"/>
    </row>
    <row r="328" spans="1:5" s="16" customFormat="1">
      <c r="A328" s="17">
        <v>323</v>
      </c>
      <c r="B328" s="18" t="s">
        <v>2403</v>
      </c>
      <c r="C328" s="19">
        <v>1410202110268</v>
      </c>
      <c r="D328" s="20">
        <f>706902.58/1000</f>
        <v>706.90257999999994</v>
      </c>
      <c r="E328" s="20"/>
    </row>
    <row r="329" spans="1:5" s="16" customFormat="1">
      <c r="A329" s="17">
        <v>324</v>
      </c>
      <c r="B329" s="18" t="s">
        <v>2794</v>
      </c>
      <c r="C329" s="19">
        <v>212201010183</v>
      </c>
      <c r="D329" s="20">
        <f>701103.13/1000</f>
        <v>701.10312999999996</v>
      </c>
      <c r="E329" s="20"/>
    </row>
    <row r="330" spans="1:5" s="16" customFormat="1">
      <c r="A330" s="17">
        <v>325</v>
      </c>
      <c r="B330" s="18" t="s">
        <v>539</v>
      </c>
      <c r="C330" s="19">
        <v>1308202110298</v>
      </c>
      <c r="D330" s="20">
        <f>695595.07/1000</f>
        <v>695.59506999999996</v>
      </c>
      <c r="E330" s="20"/>
    </row>
    <row r="331" spans="1:5" s="16" customFormat="1">
      <c r="A331" s="17">
        <v>326</v>
      </c>
      <c r="B331" s="18" t="s">
        <v>2710</v>
      </c>
      <c r="C331" s="19">
        <v>502202010420</v>
      </c>
      <c r="D331" s="20">
        <f>695527.94/1000</f>
        <v>695.52793999999994</v>
      </c>
      <c r="E331" s="20"/>
    </row>
    <row r="332" spans="1:5" s="16" customFormat="1">
      <c r="A332" s="17">
        <v>327</v>
      </c>
      <c r="B332" s="18" t="s">
        <v>183</v>
      </c>
      <c r="C332" s="19">
        <v>23101195800464</v>
      </c>
      <c r="D332" s="20">
        <f>694668/1000</f>
        <v>694.66800000000001</v>
      </c>
      <c r="E332" s="20"/>
    </row>
    <row r="333" spans="1:5" s="16" customFormat="1">
      <c r="A333" s="17">
        <v>328</v>
      </c>
      <c r="B333" s="18" t="s">
        <v>2800</v>
      </c>
      <c r="C333" s="19">
        <v>2202199610090</v>
      </c>
      <c r="D333" s="20">
        <f>689879/1000</f>
        <v>689.87900000000002</v>
      </c>
      <c r="E333" s="20"/>
    </row>
    <row r="334" spans="1:5" s="16" customFormat="1">
      <c r="A334" s="17">
        <v>329</v>
      </c>
      <c r="B334" s="18" t="s">
        <v>473</v>
      </c>
      <c r="C334" s="19">
        <v>311201010121</v>
      </c>
      <c r="D334" s="20">
        <f>695742.32/1000</f>
        <v>695.74231999999995</v>
      </c>
      <c r="E334" s="20"/>
    </row>
    <row r="335" spans="1:5" s="16" customFormat="1">
      <c r="A335" s="17">
        <v>330</v>
      </c>
      <c r="B335" s="18" t="s">
        <v>476</v>
      </c>
      <c r="C335" s="19">
        <v>2405201710132</v>
      </c>
      <c r="D335" s="20">
        <f>692323.65/1000</f>
        <v>692.32365000000004</v>
      </c>
      <c r="E335" s="20"/>
    </row>
    <row r="336" spans="1:5" s="16" customFormat="1">
      <c r="A336" s="17">
        <v>331</v>
      </c>
      <c r="B336" s="18" t="s">
        <v>2795</v>
      </c>
      <c r="C336" s="19">
        <v>2309200310064</v>
      </c>
      <c r="D336" s="20">
        <f>671885.53/1000</f>
        <v>671.88553000000002</v>
      </c>
      <c r="E336" s="20"/>
    </row>
    <row r="337" spans="1:5" s="16" customFormat="1">
      <c r="A337" s="17">
        <v>332</v>
      </c>
      <c r="B337" s="18" t="s">
        <v>2711</v>
      </c>
      <c r="C337" s="19">
        <v>2701202010349</v>
      </c>
      <c r="D337" s="20">
        <f>664595.19/1000</f>
        <v>664.59518999999989</v>
      </c>
      <c r="E337" s="20"/>
    </row>
    <row r="338" spans="1:5" s="16" customFormat="1">
      <c r="A338" s="17">
        <v>333</v>
      </c>
      <c r="B338" s="18" t="s">
        <v>184</v>
      </c>
      <c r="C338" s="19">
        <v>11706198400379</v>
      </c>
      <c r="D338" s="20">
        <f>663552/1000</f>
        <v>663.55200000000002</v>
      </c>
      <c r="E338" s="20"/>
    </row>
    <row r="339" spans="1:5" s="16" customFormat="1">
      <c r="A339" s="17">
        <v>334</v>
      </c>
      <c r="B339" s="18" t="s">
        <v>1691</v>
      </c>
      <c r="C339" s="19">
        <v>1304201810307</v>
      </c>
      <c r="D339" s="20">
        <f>698174.76/1000</f>
        <v>698.17475999999999</v>
      </c>
      <c r="E339" s="20"/>
    </row>
    <row r="340" spans="1:5" s="16" customFormat="1">
      <c r="A340" s="17">
        <v>335</v>
      </c>
      <c r="B340" s="18" t="s">
        <v>2712</v>
      </c>
      <c r="C340" s="19">
        <v>1009202110164</v>
      </c>
      <c r="D340" s="20">
        <f>650654.85/1000</f>
        <v>650.65485000000001</v>
      </c>
      <c r="E340" s="20"/>
    </row>
    <row r="341" spans="1:5" s="16" customFormat="1">
      <c r="A341" s="17">
        <v>336</v>
      </c>
      <c r="B341" s="18" t="s">
        <v>1690</v>
      </c>
      <c r="C341" s="19">
        <v>12211197200784</v>
      </c>
      <c r="D341" s="20">
        <f>766177.24/1000</f>
        <v>766.17723999999998</v>
      </c>
      <c r="E341" s="20"/>
    </row>
    <row r="342" spans="1:5" s="16" customFormat="1">
      <c r="A342" s="17">
        <v>337</v>
      </c>
      <c r="B342" s="18" t="s">
        <v>1943</v>
      </c>
      <c r="C342" s="19">
        <v>106201110192</v>
      </c>
      <c r="D342" s="20">
        <f>661643.79/1000</f>
        <v>661.64379000000008</v>
      </c>
      <c r="E342" s="20"/>
    </row>
    <row r="343" spans="1:5" s="16" customFormat="1">
      <c r="A343" s="17">
        <v>338</v>
      </c>
      <c r="B343" s="18" t="s">
        <v>494</v>
      </c>
      <c r="C343" s="19">
        <v>402201410245</v>
      </c>
      <c r="D343" s="20">
        <f>622775.29/1000</f>
        <v>622.77529000000004</v>
      </c>
      <c r="E343" s="20"/>
    </row>
    <row r="344" spans="1:5" s="16" customFormat="1">
      <c r="A344" s="17">
        <v>339</v>
      </c>
      <c r="B344" s="18" t="s">
        <v>2713</v>
      </c>
      <c r="C344" s="19">
        <v>1704202310126</v>
      </c>
      <c r="D344" s="20">
        <f>612086.76/1000</f>
        <v>612.08676000000003</v>
      </c>
      <c r="E344" s="20"/>
    </row>
    <row r="345" spans="1:5" s="16" customFormat="1">
      <c r="A345" s="17">
        <v>340</v>
      </c>
      <c r="B345" s="18" t="s">
        <v>2714</v>
      </c>
      <c r="C345" s="19">
        <v>20104199001138</v>
      </c>
      <c r="D345" s="20">
        <f>607456.22/1000</f>
        <v>607.45621999999992</v>
      </c>
      <c r="E345" s="20"/>
    </row>
    <row r="346" spans="1:5" s="16" customFormat="1">
      <c r="A346" s="17">
        <v>341</v>
      </c>
      <c r="B346" s="18" t="s">
        <v>445</v>
      </c>
      <c r="C346" s="19">
        <v>10610197400413</v>
      </c>
      <c r="D346" s="20">
        <f>598633.6/1000</f>
        <v>598.6336</v>
      </c>
      <c r="E346" s="20"/>
    </row>
    <row r="347" spans="1:5" s="16" customFormat="1">
      <c r="A347" s="17">
        <v>342</v>
      </c>
      <c r="B347" s="18" t="s">
        <v>1016</v>
      </c>
      <c r="C347" s="19">
        <v>12005199402022</v>
      </c>
      <c r="D347" s="20">
        <f>606192.38/1000</f>
        <v>606.19237999999996</v>
      </c>
      <c r="E347" s="20"/>
    </row>
    <row r="348" spans="1:5" s="16" customFormat="1">
      <c r="A348" s="17">
        <v>343</v>
      </c>
      <c r="B348" s="18" t="s">
        <v>2715</v>
      </c>
      <c r="C348" s="19">
        <v>1203201910351</v>
      </c>
      <c r="D348" s="20">
        <f>595812.69/1000</f>
        <v>595.81268999999998</v>
      </c>
      <c r="E348" s="20"/>
    </row>
    <row r="349" spans="1:5" s="16" customFormat="1">
      <c r="A349" s="17">
        <v>344</v>
      </c>
      <c r="B349" s="18" t="s">
        <v>155</v>
      </c>
      <c r="C349" s="19">
        <v>2602201010226</v>
      </c>
      <c r="D349" s="20">
        <f>594092.72/1000</f>
        <v>594.09271999999999</v>
      </c>
      <c r="E349" s="20"/>
    </row>
    <row r="350" spans="1:5" s="16" customFormat="1">
      <c r="A350" s="17">
        <v>345</v>
      </c>
      <c r="B350" s="18" t="s">
        <v>185</v>
      </c>
      <c r="C350" s="19">
        <v>20310198800768</v>
      </c>
      <c r="D350" s="20">
        <f>593396.96/1000</f>
        <v>593.39695999999992</v>
      </c>
      <c r="E350" s="20"/>
    </row>
    <row r="351" spans="1:5" s="16" customFormat="1">
      <c r="A351" s="17">
        <v>346</v>
      </c>
      <c r="B351" s="18" t="s">
        <v>2801</v>
      </c>
      <c r="C351" s="19">
        <v>504200710489</v>
      </c>
      <c r="D351" s="20">
        <f>593604.63/1000</f>
        <v>593.60463000000004</v>
      </c>
      <c r="E351" s="20"/>
    </row>
    <row r="352" spans="1:5" s="16" customFormat="1">
      <c r="A352" s="17">
        <v>347</v>
      </c>
      <c r="B352" s="18" t="s">
        <v>1153</v>
      </c>
      <c r="C352" s="19">
        <v>21210199101767</v>
      </c>
      <c r="D352" s="20">
        <f>587242.5/1000</f>
        <v>587.24249999999995</v>
      </c>
      <c r="E352" s="20"/>
    </row>
    <row r="353" spans="1:5" s="16" customFormat="1">
      <c r="A353" s="17">
        <v>348</v>
      </c>
      <c r="B353" s="18" t="s">
        <v>182</v>
      </c>
      <c r="C353" s="19">
        <v>11010196001229</v>
      </c>
      <c r="D353" s="20">
        <f>584488/1000</f>
        <v>584.48800000000006</v>
      </c>
      <c r="E353" s="20"/>
    </row>
    <row r="354" spans="1:5" s="16" customFormat="1">
      <c r="A354" s="17">
        <v>349</v>
      </c>
      <c r="B354" s="18" t="s">
        <v>545</v>
      </c>
      <c r="C354" s="19">
        <v>20211198501082</v>
      </c>
      <c r="D354" s="20">
        <f>584360.11/1000</f>
        <v>584.36010999999996</v>
      </c>
      <c r="E354" s="20"/>
    </row>
    <row r="355" spans="1:5" s="16" customFormat="1">
      <c r="A355" s="17">
        <v>350</v>
      </c>
      <c r="B355" s="18" t="s">
        <v>2405</v>
      </c>
      <c r="C355" s="19">
        <v>206202210208</v>
      </c>
      <c r="D355" s="20">
        <f>576960.28/1000</f>
        <v>576.96028000000001</v>
      </c>
      <c r="E355" s="20"/>
    </row>
    <row r="356" spans="1:5" s="16" customFormat="1">
      <c r="A356" s="17">
        <v>351</v>
      </c>
      <c r="B356" s="18" t="s">
        <v>2802</v>
      </c>
      <c r="C356" s="19">
        <v>2910201210108</v>
      </c>
      <c r="D356" s="20">
        <f>570392.27/1000</f>
        <v>570.39227000000005</v>
      </c>
      <c r="E356" s="20"/>
    </row>
    <row r="357" spans="1:5" s="16" customFormat="1">
      <c r="A357" s="17">
        <v>352</v>
      </c>
      <c r="B357" s="18" t="s">
        <v>2716</v>
      </c>
      <c r="C357" s="19">
        <v>3112201310161</v>
      </c>
      <c r="D357" s="20">
        <f>569865.92/1000</f>
        <v>569.86592000000007</v>
      </c>
      <c r="E357" s="20"/>
    </row>
    <row r="358" spans="1:5" s="16" customFormat="1">
      <c r="A358" s="17">
        <v>353</v>
      </c>
      <c r="B358" s="18" t="s">
        <v>954</v>
      </c>
      <c r="C358" s="19">
        <v>2812202010337</v>
      </c>
      <c r="D358" s="20">
        <f>572895.73/1000</f>
        <v>572.89572999999996</v>
      </c>
      <c r="E358" s="20"/>
    </row>
    <row r="359" spans="1:5" s="16" customFormat="1">
      <c r="A359" s="17">
        <v>354</v>
      </c>
      <c r="B359" s="18" t="s">
        <v>485</v>
      </c>
      <c r="C359" s="19">
        <v>2911201010152</v>
      </c>
      <c r="D359" s="20">
        <f>567324.18/1000</f>
        <v>567.32418000000007</v>
      </c>
      <c r="E359" s="20"/>
    </row>
    <row r="360" spans="1:5" s="16" customFormat="1">
      <c r="A360" s="17">
        <v>355</v>
      </c>
      <c r="B360" s="18" t="s">
        <v>514</v>
      </c>
      <c r="C360" s="19">
        <v>1702201610279</v>
      </c>
      <c r="D360" s="20">
        <f>574447.81/1000</f>
        <v>574.44781</v>
      </c>
      <c r="E360" s="20"/>
    </row>
    <row r="361" spans="1:5" s="16" customFormat="1">
      <c r="A361" s="17">
        <v>356</v>
      </c>
      <c r="B361" s="18" t="s">
        <v>2717</v>
      </c>
      <c r="C361" s="19">
        <v>1204201110116</v>
      </c>
      <c r="D361" s="20">
        <f>559969.32/1000</f>
        <v>559.96931999999993</v>
      </c>
      <c r="E361" s="20"/>
    </row>
    <row r="362" spans="1:5" s="16" customFormat="1">
      <c r="A362" s="17">
        <v>357</v>
      </c>
      <c r="B362" s="18" t="s">
        <v>778</v>
      </c>
      <c r="C362" s="19">
        <v>1512201510137</v>
      </c>
      <c r="D362" s="20">
        <f>559392.59/1000</f>
        <v>559.39258999999993</v>
      </c>
      <c r="E362" s="20"/>
    </row>
    <row r="363" spans="1:5" s="16" customFormat="1">
      <c r="A363" s="17">
        <v>358</v>
      </c>
      <c r="B363" s="18" t="s">
        <v>510</v>
      </c>
      <c r="C363" s="19">
        <v>1108201410083</v>
      </c>
      <c r="D363" s="20">
        <f>563670.42/1000</f>
        <v>563.67042000000004</v>
      </c>
      <c r="E363" s="20"/>
    </row>
    <row r="364" spans="1:5" s="16" customFormat="1">
      <c r="A364" s="17">
        <v>359</v>
      </c>
      <c r="B364" s="18" t="s">
        <v>2718</v>
      </c>
      <c r="C364" s="19">
        <v>22310198100816</v>
      </c>
      <c r="D364" s="20">
        <f>551170.46/1000</f>
        <v>551.17045999999993</v>
      </c>
      <c r="E364" s="20"/>
    </row>
    <row r="365" spans="1:5" s="16" customFormat="1">
      <c r="A365" s="17">
        <v>360</v>
      </c>
      <c r="B365" s="18" t="s">
        <v>2719</v>
      </c>
      <c r="C365" s="19">
        <v>1309202210186</v>
      </c>
      <c r="D365" s="20">
        <f>549098.19/1000</f>
        <v>549.09818999999993</v>
      </c>
      <c r="E365" s="20"/>
    </row>
    <row r="366" spans="1:5" s="16" customFormat="1">
      <c r="A366" s="17">
        <v>361</v>
      </c>
      <c r="B366" s="18" t="s">
        <v>2796</v>
      </c>
      <c r="C366" s="19">
        <v>1408201310205</v>
      </c>
      <c r="D366" s="20">
        <f>545232.49/1000</f>
        <v>545.23248999999998</v>
      </c>
      <c r="E366" s="20"/>
    </row>
    <row r="367" spans="1:5" s="16" customFormat="1">
      <c r="A367" s="17">
        <v>362</v>
      </c>
      <c r="B367" s="18" t="s">
        <v>186</v>
      </c>
      <c r="C367" s="19">
        <v>21605199000782</v>
      </c>
      <c r="D367" s="20">
        <f>542975.68/1000</f>
        <v>542.97568000000001</v>
      </c>
      <c r="E367" s="20"/>
    </row>
    <row r="368" spans="1:5" s="16" customFormat="1">
      <c r="A368" s="17">
        <v>363</v>
      </c>
      <c r="B368" s="18" t="s">
        <v>1689</v>
      </c>
      <c r="C368" s="19">
        <v>11902199600509</v>
      </c>
      <c r="D368" s="20">
        <f>530136.91/1000</f>
        <v>530.13691000000006</v>
      </c>
      <c r="E368" s="20"/>
    </row>
    <row r="369" spans="1:5" s="16" customFormat="1">
      <c r="A369" s="17">
        <v>364</v>
      </c>
      <c r="B369" s="18" t="s">
        <v>1145</v>
      </c>
      <c r="C369" s="19">
        <v>404201610281</v>
      </c>
      <c r="D369" s="20">
        <f>500013.93/1000</f>
        <v>500.01393000000002</v>
      </c>
      <c r="E369" s="20"/>
    </row>
    <row r="370" spans="1:5" s="16" customFormat="1">
      <c r="A370" s="17">
        <v>365</v>
      </c>
      <c r="B370" s="18" t="s">
        <v>189</v>
      </c>
      <c r="C370" s="19">
        <v>21612197600156</v>
      </c>
      <c r="D370" s="20">
        <f>540610.03/1000</f>
        <v>540.61003000000005</v>
      </c>
      <c r="E370" s="20"/>
    </row>
    <row r="371" spans="1:5" s="16" customFormat="1">
      <c r="A371" s="17">
        <v>366</v>
      </c>
      <c r="B371" s="18" t="s">
        <v>955</v>
      </c>
      <c r="C371" s="19">
        <v>1204201910521</v>
      </c>
      <c r="D371" s="20">
        <f>573842.79/1000</f>
        <v>573.84279000000004</v>
      </c>
      <c r="E371" s="20"/>
    </row>
    <row r="372" spans="1:5" s="16" customFormat="1">
      <c r="A372" s="17">
        <v>367</v>
      </c>
      <c r="B372" s="18" t="s">
        <v>1688</v>
      </c>
      <c r="C372" s="19">
        <v>2802202010196</v>
      </c>
      <c r="D372" s="20">
        <f>523736.55/1000</f>
        <v>523.73654999999997</v>
      </c>
      <c r="E372" s="20"/>
    </row>
    <row r="373" spans="1:5" s="16" customFormat="1">
      <c r="A373" s="17">
        <v>368</v>
      </c>
      <c r="B373" s="18" t="s">
        <v>786</v>
      </c>
      <c r="C373" s="19">
        <v>1404201710075</v>
      </c>
      <c r="D373" s="20">
        <f>552268.06/1000</f>
        <v>552.2680600000001</v>
      </c>
      <c r="E373" s="20">
        <v>1201.3</v>
      </c>
    </row>
    <row r="374" spans="1:5" s="16" customFormat="1">
      <c r="A374" s="17">
        <v>369</v>
      </c>
      <c r="B374" s="18" t="s">
        <v>2720</v>
      </c>
      <c r="C374" s="19">
        <v>1003201510190</v>
      </c>
      <c r="D374" s="20">
        <f>511791.58/1000</f>
        <v>511.79158000000001</v>
      </c>
      <c r="E374" s="20"/>
    </row>
    <row r="375" spans="1:5" s="16" customFormat="1">
      <c r="A375" s="17">
        <v>370</v>
      </c>
      <c r="B375" s="18" t="s">
        <v>2721</v>
      </c>
      <c r="C375" s="19">
        <v>2411202310234</v>
      </c>
      <c r="D375" s="20">
        <f>1030194.98/1000</f>
        <v>1030.19498</v>
      </c>
      <c r="E375" s="20"/>
    </row>
    <row r="376" spans="1:5" s="16" customFormat="1">
      <c r="A376" s="17">
        <v>371</v>
      </c>
      <c r="B376" s="18" t="s">
        <v>578</v>
      </c>
      <c r="C376" s="19">
        <v>20408196700355</v>
      </c>
      <c r="D376" s="20">
        <f>509645.91/1000</f>
        <v>509.64590999999996</v>
      </c>
      <c r="E376" s="20"/>
    </row>
    <row r="377" spans="1:5" s="16" customFormat="1">
      <c r="A377" s="17">
        <v>372</v>
      </c>
      <c r="B377" s="18" t="s">
        <v>1942</v>
      </c>
      <c r="C377" s="19">
        <v>1008202110131</v>
      </c>
      <c r="D377" s="20">
        <f>508092.56/1000</f>
        <v>508.09255999999999</v>
      </c>
      <c r="E377" s="20"/>
    </row>
    <row r="378" spans="1:5" s="16" customFormat="1">
      <c r="A378" s="17">
        <v>373</v>
      </c>
      <c r="B378" s="18" t="s">
        <v>2797</v>
      </c>
      <c r="C378" s="19">
        <v>2706200010041</v>
      </c>
      <c r="D378" s="20">
        <f>512588.85/1000</f>
        <v>512.58884999999998</v>
      </c>
      <c r="E378" s="20"/>
    </row>
    <row r="379" spans="1:5" s="16" customFormat="1">
      <c r="A379" s="17">
        <v>374</v>
      </c>
      <c r="B379" s="18" t="s">
        <v>500</v>
      </c>
      <c r="C379" s="19">
        <v>506200910107</v>
      </c>
      <c r="D379" s="20">
        <f>509475.39/1000</f>
        <v>509.47539</v>
      </c>
      <c r="E379" s="20"/>
    </row>
    <row r="380" spans="1:5" s="16" customFormat="1">
      <c r="A380" s="17">
        <v>375</v>
      </c>
      <c r="B380" s="18" t="s">
        <v>504</v>
      </c>
      <c r="C380" s="19">
        <v>2907201610273</v>
      </c>
      <c r="D380" s="20">
        <f>510889.88/1000</f>
        <v>510.88988000000001</v>
      </c>
      <c r="E380" s="20"/>
    </row>
    <row r="381" spans="1:5" s="16" customFormat="1">
      <c r="A381" s="17">
        <v>376</v>
      </c>
      <c r="B381" s="18" t="s">
        <v>2722</v>
      </c>
      <c r="C381" s="19">
        <v>13103195300384</v>
      </c>
      <c r="D381" s="20">
        <f>500000/1000</f>
        <v>500</v>
      </c>
      <c r="E381" s="20"/>
    </row>
    <row r="382" spans="1:5" s="16" customFormat="1">
      <c r="A382" s="17">
        <v>377</v>
      </c>
      <c r="B382" s="18" t="s">
        <v>2824</v>
      </c>
      <c r="C382" s="19" t="s">
        <v>2803</v>
      </c>
      <c r="D382" s="20"/>
      <c r="E382" s="20">
        <v>14333.21326</v>
      </c>
    </row>
    <row r="383" spans="1:5" s="16" customFormat="1" ht="31.5">
      <c r="A383" s="17">
        <v>378</v>
      </c>
      <c r="B383" s="18" t="s">
        <v>2831</v>
      </c>
      <c r="C383" s="19" t="s">
        <v>2804</v>
      </c>
      <c r="D383" s="20"/>
      <c r="E383" s="20">
        <v>11221.672649999999</v>
      </c>
    </row>
    <row r="384" spans="1:5" s="16" customFormat="1">
      <c r="A384" s="17">
        <v>379</v>
      </c>
      <c r="B384" s="18" t="s">
        <v>2832</v>
      </c>
      <c r="C384" s="19" t="s">
        <v>2805</v>
      </c>
      <c r="D384" s="20"/>
      <c r="E384" s="20">
        <v>5851.5021399999996</v>
      </c>
    </row>
    <row r="385" spans="1:5" s="16" customFormat="1" ht="31.5">
      <c r="A385" s="17">
        <v>380</v>
      </c>
      <c r="B385" s="18" t="s">
        <v>2836</v>
      </c>
      <c r="C385" s="19" t="s">
        <v>2806</v>
      </c>
      <c r="D385" s="20"/>
      <c r="E385" s="20">
        <v>2688.9291200000002</v>
      </c>
    </row>
    <row r="386" spans="1:5" s="16" customFormat="1">
      <c r="A386" s="17">
        <v>381</v>
      </c>
      <c r="B386" s="18" t="s">
        <v>2825</v>
      </c>
      <c r="C386" s="19" t="s">
        <v>2807</v>
      </c>
      <c r="D386" s="20"/>
      <c r="E386" s="20">
        <v>1673.2264100000002</v>
      </c>
    </row>
    <row r="387" spans="1:5" s="16" customFormat="1">
      <c r="A387" s="17">
        <v>382</v>
      </c>
      <c r="B387" s="18" t="s">
        <v>2833</v>
      </c>
      <c r="C387" s="19" t="s">
        <v>2808</v>
      </c>
      <c r="D387" s="20"/>
      <c r="E387" s="20">
        <v>1036.22687</v>
      </c>
    </row>
    <row r="388" spans="1:5" s="16" customFormat="1">
      <c r="A388" s="17">
        <v>383</v>
      </c>
      <c r="B388" s="18" t="s">
        <v>2834</v>
      </c>
      <c r="C388" s="19" t="s">
        <v>2809</v>
      </c>
      <c r="D388" s="20"/>
      <c r="E388" s="20">
        <v>950.48786000000018</v>
      </c>
    </row>
    <row r="389" spans="1:5" s="16" customFormat="1">
      <c r="A389" s="17">
        <v>384</v>
      </c>
      <c r="B389" s="18" t="s">
        <v>2820</v>
      </c>
      <c r="C389" s="19" t="s">
        <v>2810</v>
      </c>
      <c r="D389" s="20"/>
      <c r="E389" s="20">
        <v>890.11201999999992</v>
      </c>
    </row>
    <row r="390" spans="1:5" s="16" customFormat="1">
      <c r="A390" s="17">
        <v>385</v>
      </c>
      <c r="B390" s="18" t="s">
        <v>2835</v>
      </c>
      <c r="C390" s="19" t="s">
        <v>2811</v>
      </c>
      <c r="D390" s="20"/>
      <c r="E390" s="20">
        <v>876.37632999999994</v>
      </c>
    </row>
    <row r="391" spans="1:5" s="16" customFormat="1">
      <c r="A391" s="17">
        <v>386</v>
      </c>
      <c r="B391" s="18" t="s">
        <v>2821</v>
      </c>
      <c r="C391" s="19" t="s">
        <v>2812</v>
      </c>
      <c r="D391" s="20"/>
      <c r="E391" s="20">
        <v>800.80340999999987</v>
      </c>
    </row>
    <row r="392" spans="1:5" s="16" customFormat="1">
      <c r="A392" s="17">
        <v>387</v>
      </c>
      <c r="B392" s="18" t="s">
        <v>2822</v>
      </c>
      <c r="C392" s="19" t="s">
        <v>2813</v>
      </c>
      <c r="D392" s="20"/>
      <c r="E392" s="20">
        <v>777.13949000000002</v>
      </c>
    </row>
    <row r="393" spans="1:5" s="16" customFormat="1">
      <c r="A393" s="17">
        <v>388</v>
      </c>
      <c r="B393" s="18" t="s">
        <v>2826</v>
      </c>
      <c r="C393" s="19" t="s">
        <v>2814</v>
      </c>
      <c r="D393" s="20"/>
      <c r="E393" s="20">
        <v>726.41243000000009</v>
      </c>
    </row>
    <row r="394" spans="1:5" s="16" customFormat="1">
      <c r="A394" s="17">
        <v>389</v>
      </c>
      <c r="B394" s="18" t="s">
        <v>2827</v>
      </c>
      <c r="C394" s="19" t="s">
        <v>2815</v>
      </c>
      <c r="D394" s="20"/>
      <c r="E394" s="20">
        <v>712.35068000000001</v>
      </c>
    </row>
    <row r="395" spans="1:5" s="16" customFormat="1">
      <c r="A395" s="17">
        <v>390</v>
      </c>
      <c r="B395" s="18" t="s">
        <v>2828</v>
      </c>
      <c r="C395" s="19" t="s">
        <v>2816</v>
      </c>
      <c r="D395" s="20"/>
      <c r="E395" s="20">
        <v>660.52458999999999</v>
      </c>
    </row>
    <row r="396" spans="1:5" s="16" customFormat="1">
      <c r="A396" s="17">
        <v>391</v>
      </c>
      <c r="B396" s="18" t="s">
        <v>2823</v>
      </c>
      <c r="C396" s="19" t="s">
        <v>2817</v>
      </c>
      <c r="D396" s="20"/>
      <c r="E396" s="20">
        <v>657.23751000000004</v>
      </c>
    </row>
    <row r="397" spans="1:5" s="16" customFormat="1">
      <c r="A397" s="17">
        <v>392</v>
      </c>
      <c r="B397" s="18" t="s">
        <v>2829</v>
      </c>
      <c r="C397" s="19" t="s">
        <v>2818</v>
      </c>
      <c r="D397" s="20"/>
      <c r="E397" s="20">
        <v>643.86751000000004</v>
      </c>
    </row>
    <row r="398" spans="1:5" s="16" customFormat="1">
      <c r="A398" s="17">
        <v>393</v>
      </c>
      <c r="B398" s="18" t="s">
        <v>2830</v>
      </c>
      <c r="C398" s="19" t="s">
        <v>2819</v>
      </c>
      <c r="D398" s="20"/>
      <c r="E398" s="20">
        <v>504.65110000000004</v>
      </c>
    </row>
    <row r="399" spans="1:5" s="16" customFormat="1">
      <c r="A399" s="24"/>
      <c r="B399" s="25" t="s">
        <v>2</v>
      </c>
      <c r="C399" s="19"/>
      <c r="D399" s="1">
        <f>SUM(D6:D398)</f>
        <v>7107317.6129600005</v>
      </c>
      <c r="E399" s="1">
        <f>SUM(E6:E398)</f>
        <v>84758.733380000005</v>
      </c>
    </row>
    <row r="400" spans="1:5" ht="18.75">
      <c r="A400" s="52" t="s">
        <v>46</v>
      </c>
      <c r="B400" s="52"/>
      <c r="C400" s="52"/>
      <c r="D400" s="52"/>
      <c r="E400" s="52"/>
    </row>
    <row r="401" spans="1:5">
      <c r="A401" s="17">
        <v>1</v>
      </c>
      <c r="B401" s="18" t="s">
        <v>2883</v>
      </c>
      <c r="C401" s="19">
        <v>907201510097</v>
      </c>
      <c r="D401" s="22">
        <f>1522621133.8/1000</f>
        <v>1522621.1338</v>
      </c>
      <c r="E401" s="20"/>
    </row>
    <row r="402" spans="1:5">
      <c r="A402" s="17">
        <v>2</v>
      </c>
      <c r="B402" s="18" t="s">
        <v>1154</v>
      </c>
      <c r="C402" s="19">
        <v>2704202210030</v>
      </c>
      <c r="D402" s="22">
        <f>1025392639.35/1000</f>
        <v>1025392.6393500001</v>
      </c>
      <c r="E402" s="20"/>
    </row>
    <row r="403" spans="1:5">
      <c r="A403" s="17">
        <v>3</v>
      </c>
      <c r="B403" s="18" t="s">
        <v>819</v>
      </c>
      <c r="C403" s="19">
        <v>2901202010487</v>
      </c>
      <c r="D403" s="22">
        <f>841078942/1000</f>
        <v>841078.94200000004</v>
      </c>
      <c r="E403" s="20"/>
    </row>
    <row r="404" spans="1:5">
      <c r="A404" s="17">
        <v>4</v>
      </c>
      <c r="B404" s="18" t="s">
        <v>1155</v>
      </c>
      <c r="C404" s="19">
        <v>2704202210056</v>
      </c>
      <c r="D404" s="22">
        <f>573508143.43/1000</f>
        <v>573508.14342999994</v>
      </c>
      <c r="E404" s="20"/>
    </row>
    <row r="405" spans="1:5">
      <c r="A405" s="17">
        <v>5</v>
      </c>
      <c r="B405" s="18" t="s">
        <v>2874</v>
      </c>
      <c r="C405" s="19">
        <v>1605200710113</v>
      </c>
      <c r="D405" s="22">
        <f>440244919.59/1000</f>
        <v>440244.91958999995</v>
      </c>
      <c r="E405" s="20"/>
    </row>
    <row r="406" spans="1:5">
      <c r="A406" s="17">
        <v>6</v>
      </c>
      <c r="B406" s="18" t="s">
        <v>2875</v>
      </c>
      <c r="C406" s="19">
        <v>612200610093</v>
      </c>
      <c r="D406" s="22">
        <f>413398866/1000</f>
        <v>413398.86599999998</v>
      </c>
      <c r="E406" s="20"/>
    </row>
    <row r="407" spans="1:5">
      <c r="A407" s="17">
        <v>7</v>
      </c>
      <c r="B407" s="18" t="s">
        <v>228</v>
      </c>
      <c r="C407" s="19">
        <v>710201410222</v>
      </c>
      <c r="D407" s="22">
        <f>323538898/1000</f>
        <v>323538.89799999999</v>
      </c>
      <c r="E407" s="20"/>
    </row>
    <row r="408" spans="1:5">
      <c r="A408" s="17">
        <v>8</v>
      </c>
      <c r="B408" s="18" t="s">
        <v>2884</v>
      </c>
      <c r="C408" s="19">
        <v>810201510223</v>
      </c>
      <c r="D408" s="22">
        <f>206657391.13/1000</f>
        <v>206657.39113</v>
      </c>
      <c r="E408" s="20"/>
    </row>
    <row r="409" spans="1:5">
      <c r="A409" s="17">
        <v>9</v>
      </c>
      <c r="B409" s="18" t="s">
        <v>229</v>
      </c>
      <c r="C409" s="19">
        <v>1510201510233</v>
      </c>
      <c r="D409" s="22">
        <f>158873043.51/1000</f>
        <v>158873.04350999999</v>
      </c>
      <c r="E409" s="20"/>
    </row>
    <row r="410" spans="1:5">
      <c r="A410" s="17">
        <v>10</v>
      </c>
      <c r="B410" s="18" t="s">
        <v>442</v>
      </c>
      <c r="C410" s="19">
        <v>1807201710130</v>
      </c>
      <c r="D410" s="22">
        <f>143141421.77/1000</f>
        <v>143141.42177000002</v>
      </c>
      <c r="E410" s="20"/>
    </row>
    <row r="411" spans="1:5">
      <c r="A411" s="17">
        <v>11</v>
      </c>
      <c r="B411" s="18" t="s">
        <v>230</v>
      </c>
      <c r="C411" s="19">
        <v>2503201610010</v>
      </c>
      <c r="D411" s="22">
        <f>132823172/1000</f>
        <v>132823.17199999999</v>
      </c>
      <c r="E411" s="20"/>
    </row>
    <row r="412" spans="1:5">
      <c r="A412" s="17">
        <v>12</v>
      </c>
      <c r="B412" s="18" t="s">
        <v>235</v>
      </c>
      <c r="C412" s="19">
        <v>1804201710137</v>
      </c>
      <c r="D412" s="22">
        <f>126147055.34/1000</f>
        <v>126147.05534000001</v>
      </c>
      <c r="E412" s="20"/>
    </row>
    <row r="413" spans="1:5">
      <c r="A413" s="17">
        <v>13</v>
      </c>
      <c r="B413" s="18" t="s">
        <v>231</v>
      </c>
      <c r="C413" s="19">
        <v>1304201610148</v>
      </c>
      <c r="D413" s="22">
        <f>123060260/1000</f>
        <v>123060.26</v>
      </c>
      <c r="E413" s="20"/>
    </row>
    <row r="414" spans="1:5">
      <c r="A414" s="17">
        <v>14</v>
      </c>
      <c r="B414" s="18" t="s">
        <v>2876</v>
      </c>
      <c r="C414" s="19">
        <v>1309201210224</v>
      </c>
      <c r="D414" s="22">
        <f>114483260.99/1000</f>
        <v>114483.26099</v>
      </c>
      <c r="E414" s="20"/>
    </row>
    <row r="415" spans="1:5">
      <c r="A415" s="17">
        <v>15</v>
      </c>
      <c r="B415" s="18" t="s">
        <v>2885</v>
      </c>
      <c r="C415" s="19">
        <v>810201510236</v>
      </c>
      <c r="D415" s="22">
        <f>113792461.38/1000</f>
        <v>113792.46137999999</v>
      </c>
      <c r="E415" s="20"/>
    </row>
    <row r="416" spans="1:5">
      <c r="A416" s="17">
        <v>16</v>
      </c>
      <c r="B416" s="18" t="s">
        <v>818</v>
      </c>
      <c r="C416" s="19">
        <v>2709201610067</v>
      </c>
      <c r="D416" s="22">
        <f>94851401.24/1000</f>
        <v>94851.401239999992</v>
      </c>
      <c r="E416" s="20"/>
    </row>
    <row r="417" spans="1:5">
      <c r="A417" s="17">
        <v>17</v>
      </c>
      <c r="B417" s="18" t="s">
        <v>71</v>
      </c>
      <c r="C417" s="19">
        <v>607200710225</v>
      </c>
      <c r="D417" s="22">
        <f>89566977.41/1000</f>
        <v>89566.977409999992</v>
      </c>
      <c r="E417" s="20"/>
    </row>
    <row r="418" spans="1:5">
      <c r="A418" s="17">
        <v>18</v>
      </c>
      <c r="B418" s="18" t="s">
        <v>232</v>
      </c>
      <c r="C418" s="19">
        <v>1611201710068</v>
      </c>
      <c r="D418" s="22">
        <f>88052928/1000</f>
        <v>88052.928</v>
      </c>
      <c r="E418" s="20"/>
    </row>
    <row r="419" spans="1:5">
      <c r="A419" s="17">
        <v>19</v>
      </c>
      <c r="B419" s="18" t="s">
        <v>233</v>
      </c>
      <c r="C419" s="19">
        <v>1011201710099</v>
      </c>
      <c r="D419" s="22">
        <f>87100092.33/1000</f>
        <v>87100.092329999999</v>
      </c>
      <c r="E419" s="20"/>
    </row>
    <row r="420" spans="1:5">
      <c r="A420" s="17">
        <v>20</v>
      </c>
      <c r="B420" s="18" t="s">
        <v>239</v>
      </c>
      <c r="C420" s="19">
        <v>1708202110334</v>
      </c>
      <c r="D420" s="22">
        <f>70804757.21/1000</f>
        <v>70804.757209999996</v>
      </c>
      <c r="E420" s="20"/>
    </row>
    <row r="421" spans="1:5">
      <c r="A421" s="17">
        <v>21</v>
      </c>
      <c r="B421" s="18" t="s">
        <v>234</v>
      </c>
      <c r="C421" s="19">
        <v>22609196300226</v>
      </c>
      <c r="D421" s="22">
        <f>61185045/1000</f>
        <v>61185.044999999998</v>
      </c>
      <c r="E421" s="20"/>
    </row>
    <row r="422" spans="1:5">
      <c r="A422" s="17">
        <v>22</v>
      </c>
      <c r="B422" s="18" t="s">
        <v>236</v>
      </c>
      <c r="C422" s="19">
        <v>402201910274</v>
      </c>
      <c r="D422" s="22">
        <f>60556204.48/1000</f>
        <v>60556.20448</v>
      </c>
      <c r="E422" s="20"/>
    </row>
    <row r="423" spans="1:5">
      <c r="A423" s="17">
        <v>23</v>
      </c>
      <c r="B423" s="18" t="s">
        <v>1156</v>
      </c>
      <c r="C423" s="19">
        <v>3112199710108</v>
      </c>
      <c r="D423" s="22">
        <f>57102566/1000</f>
        <v>57102.565999999999</v>
      </c>
      <c r="E423" s="20"/>
    </row>
    <row r="424" spans="1:5">
      <c r="A424" s="17">
        <v>24</v>
      </c>
      <c r="B424" s="18" t="s">
        <v>2886</v>
      </c>
      <c r="C424" s="19">
        <v>40907200710181</v>
      </c>
      <c r="D424" s="22">
        <f>55244086.18/1000</f>
        <v>55244.086179999998</v>
      </c>
      <c r="E424" s="20"/>
    </row>
    <row r="425" spans="1:5">
      <c r="A425" s="17">
        <v>25</v>
      </c>
      <c r="B425" s="18" t="s">
        <v>237</v>
      </c>
      <c r="C425" s="19">
        <v>910201710057</v>
      </c>
      <c r="D425" s="22">
        <f>41739750/1000</f>
        <v>41739.75</v>
      </c>
      <c r="E425" s="20"/>
    </row>
    <row r="426" spans="1:5">
      <c r="A426" s="17">
        <v>26</v>
      </c>
      <c r="B426" s="18" t="s">
        <v>238</v>
      </c>
      <c r="C426" s="19">
        <v>2708200910044</v>
      </c>
      <c r="D426" s="22">
        <f>60008492.18/1000</f>
        <v>60008.492180000001</v>
      </c>
      <c r="E426" s="20"/>
    </row>
    <row r="427" spans="1:5">
      <c r="A427" s="17">
        <v>27</v>
      </c>
      <c r="B427" s="18" t="s">
        <v>277</v>
      </c>
      <c r="C427" s="19">
        <v>305201710019</v>
      </c>
      <c r="D427" s="22">
        <f>35528759.72/1000</f>
        <v>35528.759720000002</v>
      </c>
      <c r="E427" s="20"/>
    </row>
    <row r="428" spans="1:5">
      <c r="A428" s="17">
        <v>28</v>
      </c>
      <c r="B428" s="18" t="s">
        <v>292</v>
      </c>
      <c r="C428" s="19">
        <v>706201810081</v>
      </c>
      <c r="D428" s="22">
        <f>35242311.03/1000</f>
        <v>35242.311030000004</v>
      </c>
      <c r="E428" s="20"/>
    </row>
    <row r="429" spans="1:5">
      <c r="A429" s="17">
        <v>29</v>
      </c>
      <c r="B429" s="18" t="s">
        <v>550</v>
      </c>
      <c r="C429" s="19">
        <v>3007202110115</v>
      </c>
      <c r="D429" s="22">
        <f>34240603.2/1000</f>
        <v>34240.603200000005</v>
      </c>
      <c r="E429" s="20"/>
    </row>
    <row r="430" spans="1:5">
      <c r="A430" s="17">
        <v>30</v>
      </c>
      <c r="B430" s="18" t="s">
        <v>1433</v>
      </c>
      <c r="C430" s="19">
        <v>2403202310112</v>
      </c>
      <c r="D430" s="22">
        <f>33807976.8/1000</f>
        <v>33807.976799999997</v>
      </c>
      <c r="E430" s="20"/>
    </row>
    <row r="431" spans="1:5">
      <c r="A431" s="17">
        <v>31</v>
      </c>
      <c r="B431" s="18" t="s">
        <v>2889</v>
      </c>
      <c r="C431" s="19">
        <v>1201199910072</v>
      </c>
      <c r="D431" s="22">
        <f>32657265/1000</f>
        <v>32657.264999999999</v>
      </c>
      <c r="E431" s="20"/>
    </row>
    <row r="432" spans="1:5">
      <c r="A432" s="17">
        <v>32</v>
      </c>
      <c r="B432" s="18" t="s">
        <v>245</v>
      </c>
      <c r="C432" s="19">
        <v>1110201810322</v>
      </c>
      <c r="D432" s="22">
        <f>29718419.69/1000</f>
        <v>29718.419690000002</v>
      </c>
      <c r="E432" s="20"/>
    </row>
    <row r="433" spans="1:5">
      <c r="A433" s="17">
        <v>33</v>
      </c>
      <c r="B433" s="18" t="s">
        <v>2877</v>
      </c>
      <c r="C433" s="19">
        <v>2604201210145</v>
      </c>
      <c r="D433" s="22">
        <f>29518301.65/1000</f>
        <v>29518.301649999998</v>
      </c>
      <c r="E433" s="20"/>
    </row>
    <row r="434" spans="1:5">
      <c r="A434" s="17">
        <v>34</v>
      </c>
      <c r="B434" s="18" t="s">
        <v>1968</v>
      </c>
      <c r="C434" s="19">
        <v>2906202310240</v>
      </c>
      <c r="D434" s="22">
        <f>27647148.25/1000</f>
        <v>27647.148249999998</v>
      </c>
      <c r="E434" s="20"/>
    </row>
    <row r="435" spans="1:5">
      <c r="A435" s="17">
        <v>35</v>
      </c>
      <c r="B435" s="18" t="s">
        <v>1692</v>
      </c>
      <c r="C435" s="19">
        <v>13010198700463</v>
      </c>
      <c r="D435" s="22">
        <f>27482106.86/1000</f>
        <v>27482.10686</v>
      </c>
      <c r="E435" s="20"/>
    </row>
    <row r="436" spans="1:5">
      <c r="A436" s="17">
        <v>36</v>
      </c>
      <c r="B436" s="18" t="s">
        <v>240</v>
      </c>
      <c r="C436" s="19">
        <v>310201610320</v>
      </c>
      <c r="D436" s="22">
        <f>26458487.26/1000</f>
        <v>26458.487260000002</v>
      </c>
      <c r="E436" s="20"/>
    </row>
    <row r="437" spans="1:5">
      <c r="A437" s="17">
        <v>37</v>
      </c>
      <c r="B437" s="18" t="s">
        <v>817</v>
      </c>
      <c r="C437" s="19">
        <v>2404201910338</v>
      </c>
      <c r="D437" s="22">
        <f>26133135.2/1000</f>
        <v>26133.135200000001</v>
      </c>
      <c r="E437" s="20"/>
    </row>
    <row r="438" spans="1:5">
      <c r="A438" s="17">
        <v>38</v>
      </c>
      <c r="B438" s="18" t="s">
        <v>2887</v>
      </c>
      <c r="C438" s="19">
        <v>2304200410118</v>
      </c>
      <c r="D438" s="22">
        <f>25135046.56/1000</f>
        <v>25135.046559999999</v>
      </c>
      <c r="E438" s="20"/>
    </row>
    <row r="439" spans="1:5">
      <c r="A439" s="17">
        <v>39</v>
      </c>
      <c r="B439" s="18" t="s">
        <v>244</v>
      </c>
      <c r="C439" s="19">
        <v>1903201910055</v>
      </c>
      <c r="D439" s="22">
        <f>23932855.95/1000</f>
        <v>23932.855950000001</v>
      </c>
      <c r="E439" s="20"/>
    </row>
    <row r="440" spans="1:5">
      <c r="A440" s="17">
        <v>40</v>
      </c>
      <c r="B440" s="18" t="s">
        <v>1157</v>
      </c>
      <c r="C440" s="19">
        <v>2706202210220</v>
      </c>
      <c r="D440" s="22">
        <f>23836771.7/1000</f>
        <v>23836.771699999998</v>
      </c>
      <c r="E440" s="20"/>
    </row>
    <row r="441" spans="1:5">
      <c r="A441" s="17">
        <v>41</v>
      </c>
      <c r="B441" s="18" t="s">
        <v>241</v>
      </c>
      <c r="C441" s="19">
        <v>10201195600731</v>
      </c>
      <c r="D441" s="22">
        <f>23815012/1000</f>
        <v>23815.011999999999</v>
      </c>
      <c r="E441" s="20"/>
    </row>
    <row r="442" spans="1:5">
      <c r="A442" s="17">
        <v>42</v>
      </c>
      <c r="B442" s="18" t="s">
        <v>1434</v>
      </c>
      <c r="C442" s="19">
        <v>703201810184</v>
      </c>
      <c r="D442" s="22">
        <f>23544240.71/1000</f>
        <v>23544.240710000002</v>
      </c>
      <c r="E442" s="20"/>
    </row>
    <row r="443" spans="1:5">
      <c r="A443" s="17">
        <v>43</v>
      </c>
      <c r="B443" s="18" t="s">
        <v>2888</v>
      </c>
      <c r="C443" s="19">
        <v>1710199710127</v>
      </c>
      <c r="D443" s="22">
        <f>22649757.61/1000</f>
        <v>22649.757610000001</v>
      </c>
      <c r="E443" s="20">
        <v>37474.5</v>
      </c>
    </row>
    <row r="444" spans="1:5">
      <c r="A444" s="17">
        <v>44</v>
      </c>
      <c r="B444" s="18" t="s">
        <v>242</v>
      </c>
      <c r="C444" s="19">
        <v>2901201810314</v>
      </c>
      <c r="D444" s="22">
        <f>22344189.44/1000</f>
        <v>22344.189440000002</v>
      </c>
      <c r="E444" s="20"/>
    </row>
    <row r="445" spans="1:5">
      <c r="A445" s="17">
        <v>45</v>
      </c>
      <c r="B445" s="18" t="s">
        <v>1437</v>
      </c>
      <c r="C445" s="19">
        <v>403199210052</v>
      </c>
      <c r="D445" s="22">
        <f>15164992.99/1000</f>
        <v>15164.992990000001</v>
      </c>
      <c r="E445" s="20"/>
    </row>
    <row r="446" spans="1:5">
      <c r="A446" s="17">
        <v>46</v>
      </c>
      <c r="B446" s="18" t="s">
        <v>243</v>
      </c>
      <c r="C446" s="19">
        <v>22607199201576</v>
      </c>
      <c r="D446" s="22">
        <f>20798948/1000</f>
        <v>20798.948</v>
      </c>
      <c r="E446" s="20"/>
    </row>
    <row r="447" spans="1:5">
      <c r="A447" s="17">
        <v>47</v>
      </c>
      <c r="B447" s="18" t="s">
        <v>2878</v>
      </c>
      <c r="C447" s="19">
        <v>712200610068</v>
      </c>
      <c r="D447" s="22">
        <f>19054627/1000</f>
        <v>19054.627</v>
      </c>
      <c r="E447" s="20"/>
    </row>
    <row r="448" spans="1:5">
      <c r="A448" s="17">
        <v>48</v>
      </c>
      <c r="B448" s="18" t="s">
        <v>1158</v>
      </c>
      <c r="C448" s="19">
        <v>2411202210483</v>
      </c>
      <c r="D448" s="22">
        <f>18430155.09/1000</f>
        <v>18430.15509</v>
      </c>
      <c r="E448" s="20"/>
    </row>
    <row r="449" spans="1:5">
      <c r="A449" s="17">
        <v>49</v>
      </c>
      <c r="B449" s="18" t="s">
        <v>248</v>
      </c>
      <c r="C449" s="19">
        <v>307201510011</v>
      </c>
      <c r="D449" s="22">
        <f>18366717.53/1000</f>
        <v>18366.717530000002</v>
      </c>
      <c r="E449" s="20"/>
    </row>
    <row r="450" spans="1:5">
      <c r="A450" s="17">
        <v>50</v>
      </c>
      <c r="B450" s="18" t="s">
        <v>813</v>
      </c>
      <c r="C450" s="19">
        <v>507201910137</v>
      </c>
      <c r="D450" s="22">
        <f>18203248.14/1000</f>
        <v>18203.24814</v>
      </c>
      <c r="E450" s="20"/>
    </row>
    <row r="451" spans="1:5">
      <c r="A451" s="17">
        <v>51</v>
      </c>
      <c r="B451" s="18" t="s">
        <v>1435</v>
      </c>
      <c r="C451" s="19">
        <v>20312199301897</v>
      </c>
      <c r="D451" s="22">
        <f>17018135.07/1000</f>
        <v>17018.13507</v>
      </c>
      <c r="E451" s="20"/>
    </row>
    <row r="452" spans="1:5">
      <c r="A452" s="17">
        <v>52</v>
      </c>
      <c r="B452" s="18" t="s">
        <v>251</v>
      </c>
      <c r="C452" s="19">
        <v>20910199500819</v>
      </c>
      <c r="D452" s="22">
        <f>16800484/1000</f>
        <v>16800.484</v>
      </c>
      <c r="E452" s="20"/>
    </row>
    <row r="453" spans="1:5">
      <c r="A453" s="17">
        <v>53</v>
      </c>
      <c r="B453" s="18" t="s">
        <v>253</v>
      </c>
      <c r="C453" s="19">
        <v>1605201610194</v>
      </c>
      <c r="D453" s="22">
        <f>16718030.69/1000</f>
        <v>16718.03069</v>
      </c>
      <c r="E453" s="20"/>
    </row>
    <row r="454" spans="1:5">
      <c r="A454" s="17">
        <v>54</v>
      </c>
      <c r="B454" s="18" t="s">
        <v>246</v>
      </c>
      <c r="C454" s="19">
        <v>2911200110061</v>
      </c>
      <c r="D454" s="22">
        <f>15778808.03/1000</f>
        <v>15778.80803</v>
      </c>
      <c r="E454" s="20"/>
    </row>
    <row r="455" spans="1:5">
      <c r="A455" s="17">
        <v>55</v>
      </c>
      <c r="B455" s="18" t="s">
        <v>247</v>
      </c>
      <c r="C455" s="19">
        <v>1112201710160</v>
      </c>
      <c r="D455" s="22">
        <f>14044432.84/1000</f>
        <v>14044.432839999999</v>
      </c>
      <c r="E455" s="20"/>
    </row>
    <row r="456" spans="1:5">
      <c r="A456" s="17">
        <v>56</v>
      </c>
      <c r="B456" s="18" t="s">
        <v>1159</v>
      </c>
      <c r="C456" s="19">
        <v>1208202210135</v>
      </c>
      <c r="D456" s="22">
        <f>13739887.49/1000</f>
        <v>13739.887490000001</v>
      </c>
      <c r="E456" s="20"/>
    </row>
    <row r="457" spans="1:5">
      <c r="A457" s="17">
        <v>57</v>
      </c>
      <c r="B457" s="18" t="s">
        <v>249</v>
      </c>
      <c r="C457" s="19">
        <v>3003201110163</v>
      </c>
      <c r="D457" s="22">
        <f>13589890.25/1000</f>
        <v>13589.89025</v>
      </c>
      <c r="E457" s="20"/>
    </row>
    <row r="458" spans="1:5">
      <c r="A458" s="17">
        <v>58</v>
      </c>
      <c r="B458" s="18" t="s">
        <v>250</v>
      </c>
      <c r="C458" s="19">
        <v>111201210018</v>
      </c>
      <c r="D458" s="22">
        <f>13395937.05/1000</f>
        <v>13395.93705</v>
      </c>
      <c r="E458" s="20"/>
    </row>
    <row r="459" spans="1:5">
      <c r="A459" s="17">
        <v>59</v>
      </c>
      <c r="B459" s="18" t="s">
        <v>261</v>
      </c>
      <c r="C459" s="19">
        <v>3003201110209</v>
      </c>
      <c r="D459" s="22">
        <f>13651527.55/1000</f>
        <v>13651.527550000001</v>
      </c>
      <c r="E459" s="20">
        <v>5789.1</v>
      </c>
    </row>
    <row r="460" spans="1:5">
      <c r="A460" s="17">
        <v>60</v>
      </c>
      <c r="B460" s="18" t="s">
        <v>2879</v>
      </c>
      <c r="C460" s="19">
        <v>907200710190</v>
      </c>
      <c r="D460" s="22">
        <f>13225644/1000</f>
        <v>13225.644</v>
      </c>
      <c r="E460" s="20"/>
    </row>
    <row r="461" spans="1:5">
      <c r="A461" s="17">
        <v>61</v>
      </c>
      <c r="B461" s="18" t="s">
        <v>263</v>
      </c>
      <c r="C461" s="19">
        <v>1005201710196</v>
      </c>
      <c r="D461" s="22">
        <f>13104555.3/1000</f>
        <v>13104.5553</v>
      </c>
      <c r="E461" s="20"/>
    </row>
    <row r="462" spans="1:5">
      <c r="A462" s="17">
        <v>62</v>
      </c>
      <c r="B462" s="18" t="s">
        <v>252</v>
      </c>
      <c r="C462" s="19">
        <v>11103197810036</v>
      </c>
      <c r="D462" s="22">
        <f>13056000/1000</f>
        <v>13056</v>
      </c>
      <c r="E462" s="20"/>
    </row>
    <row r="463" spans="1:5">
      <c r="A463" s="17">
        <v>63</v>
      </c>
      <c r="B463" s="18" t="s">
        <v>1972</v>
      </c>
      <c r="C463" s="19">
        <v>2906202310237</v>
      </c>
      <c r="D463" s="22">
        <f>12969448.85/1000</f>
        <v>12969.448849999999</v>
      </c>
      <c r="E463" s="20"/>
    </row>
    <row r="464" spans="1:5">
      <c r="A464" s="17">
        <v>64</v>
      </c>
      <c r="B464" s="18" t="s">
        <v>255</v>
      </c>
      <c r="C464" s="19">
        <v>3107201310199</v>
      </c>
      <c r="D464" s="22">
        <f>12512441.59/1000</f>
        <v>12512.44159</v>
      </c>
      <c r="E464" s="20"/>
    </row>
    <row r="465" spans="1:5">
      <c r="A465" s="17">
        <v>65</v>
      </c>
      <c r="B465" s="18" t="s">
        <v>1160</v>
      </c>
      <c r="C465" s="19">
        <v>2303202010054</v>
      </c>
      <c r="D465" s="22">
        <f>12375026.61/1000</f>
        <v>12375.026609999999</v>
      </c>
      <c r="E465" s="20"/>
    </row>
    <row r="466" spans="1:5">
      <c r="A466" s="17">
        <v>66</v>
      </c>
      <c r="B466" s="18" t="s">
        <v>256</v>
      </c>
      <c r="C466" s="19">
        <v>406201310156</v>
      </c>
      <c r="D466" s="22">
        <f>12054790/1000</f>
        <v>12054.79</v>
      </c>
      <c r="E466" s="20"/>
    </row>
    <row r="467" spans="1:5">
      <c r="A467" s="17">
        <v>67</v>
      </c>
      <c r="B467" s="18" t="s">
        <v>257</v>
      </c>
      <c r="C467" s="19">
        <v>2405201610223</v>
      </c>
      <c r="D467" s="22">
        <f>11933901.9/1000</f>
        <v>11933.901900000001</v>
      </c>
      <c r="E467" s="20"/>
    </row>
    <row r="468" spans="1:5">
      <c r="A468" s="17">
        <v>68</v>
      </c>
      <c r="B468" s="18" t="s">
        <v>266</v>
      </c>
      <c r="C468" s="19">
        <v>20805200001057</v>
      </c>
      <c r="D468" s="22">
        <f>11388047.4/1000</f>
        <v>11388.047399999999</v>
      </c>
      <c r="E468" s="20"/>
    </row>
    <row r="469" spans="1:5">
      <c r="A469" s="17">
        <v>69</v>
      </c>
      <c r="B469" s="18" t="s">
        <v>258</v>
      </c>
      <c r="C469" s="19">
        <v>1503201310205</v>
      </c>
      <c r="D469" s="22">
        <f>11252589.59/1000</f>
        <v>11252.58959</v>
      </c>
      <c r="E469" s="20"/>
    </row>
    <row r="470" spans="1:5">
      <c r="A470" s="17">
        <v>70</v>
      </c>
      <c r="B470" s="18" t="s">
        <v>2880</v>
      </c>
      <c r="C470" s="19">
        <v>707200610054</v>
      </c>
      <c r="D470" s="22">
        <f>11233211.51/1000</f>
        <v>11233.211509999999</v>
      </c>
      <c r="E470" s="20"/>
    </row>
    <row r="471" spans="1:5">
      <c r="A471" s="17">
        <v>71</v>
      </c>
      <c r="B471" s="18" t="s">
        <v>259</v>
      </c>
      <c r="C471" s="19">
        <v>20506199400898</v>
      </c>
      <c r="D471" s="22">
        <f>11135398/1000</f>
        <v>11135.397999999999</v>
      </c>
      <c r="E471" s="20"/>
    </row>
    <row r="472" spans="1:5">
      <c r="A472" s="17">
        <v>72</v>
      </c>
      <c r="B472" s="18" t="s">
        <v>260</v>
      </c>
      <c r="C472" s="19">
        <v>606201310238</v>
      </c>
      <c r="D472" s="22">
        <f>10371632.02/1000</f>
        <v>10371.632019999999</v>
      </c>
      <c r="E472" s="20"/>
    </row>
    <row r="473" spans="1:5">
      <c r="A473" s="17">
        <v>73</v>
      </c>
      <c r="B473" s="18" t="s">
        <v>254</v>
      </c>
      <c r="C473" s="19">
        <v>3004199810241</v>
      </c>
      <c r="D473" s="22">
        <f>10334781.21/1000</f>
        <v>10334.781210000001</v>
      </c>
      <c r="E473" s="20"/>
    </row>
    <row r="474" spans="1:5">
      <c r="A474" s="17">
        <v>74</v>
      </c>
      <c r="B474" s="18" t="s">
        <v>1163</v>
      </c>
      <c r="C474" s="19">
        <v>2704202210084</v>
      </c>
      <c r="D474" s="22">
        <f>10328750.03/1000</f>
        <v>10328.750029999999</v>
      </c>
      <c r="E474" s="20"/>
    </row>
    <row r="475" spans="1:5">
      <c r="A475" s="17">
        <v>75</v>
      </c>
      <c r="B475" s="18" t="s">
        <v>2893</v>
      </c>
      <c r="C475" s="19">
        <v>1702200510103</v>
      </c>
      <c r="D475" s="22">
        <f>10309987.9/1000</f>
        <v>10309.9879</v>
      </c>
      <c r="E475" s="20"/>
    </row>
    <row r="476" spans="1:5">
      <c r="A476" s="17">
        <v>76</v>
      </c>
      <c r="B476" s="18" t="s">
        <v>1161</v>
      </c>
      <c r="C476" s="19">
        <v>2706202210116</v>
      </c>
      <c r="D476" s="22">
        <f>10212779.51/1000</f>
        <v>10212.77951</v>
      </c>
      <c r="E476" s="20"/>
    </row>
    <row r="477" spans="1:5">
      <c r="A477" s="17">
        <v>77</v>
      </c>
      <c r="B477" s="18" t="s">
        <v>742</v>
      </c>
      <c r="C477" s="19">
        <v>2906200910081</v>
      </c>
      <c r="D477" s="22">
        <f>10212364.69/1000</f>
        <v>10212.36469</v>
      </c>
      <c r="E477" s="20"/>
    </row>
    <row r="478" spans="1:5">
      <c r="A478" s="17">
        <v>78</v>
      </c>
      <c r="B478" s="18" t="s">
        <v>990</v>
      </c>
      <c r="C478" s="19">
        <v>3112202010151</v>
      </c>
      <c r="D478" s="22">
        <f>10274342.16/1000</f>
        <v>10274.34216</v>
      </c>
      <c r="E478" s="20"/>
    </row>
    <row r="479" spans="1:5">
      <c r="A479" s="17">
        <v>79</v>
      </c>
      <c r="B479" s="18" t="s">
        <v>2896</v>
      </c>
      <c r="C479" s="19">
        <v>2705200410154</v>
      </c>
      <c r="D479" s="22">
        <f>9975620.15/1000</f>
        <v>9975.6201500000006</v>
      </c>
      <c r="E479" s="20"/>
    </row>
    <row r="480" spans="1:5">
      <c r="A480" s="17">
        <v>80</v>
      </c>
      <c r="B480" s="18" t="s">
        <v>2897</v>
      </c>
      <c r="C480" s="19">
        <v>2308200710075</v>
      </c>
      <c r="D480" s="22">
        <f>9936364.25/1000</f>
        <v>9936.3642500000005</v>
      </c>
      <c r="E480" s="20"/>
    </row>
    <row r="481" spans="1:5">
      <c r="A481" s="17">
        <v>81</v>
      </c>
      <c r="B481" s="18" t="s">
        <v>1162</v>
      </c>
      <c r="C481" s="19">
        <v>2301202010452</v>
      </c>
      <c r="D481" s="22">
        <f>9930230.57/1000</f>
        <v>9930.2305699999997</v>
      </c>
      <c r="E481" s="20"/>
    </row>
    <row r="482" spans="1:5">
      <c r="A482" s="17">
        <v>82</v>
      </c>
      <c r="B482" s="18" t="s">
        <v>991</v>
      </c>
      <c r="C482" s="19">
        <v>1406202210055</v>
      </c>
      <c r="D482" s="22">
        <f>9622696.1/1000</f>
        <v>9622.6960999999992</v>
      </c>
      <c r="E482" s="20"/>
    </row>
    <row r="483" spans="1:5">
      <c r="A483" s="17">
        <v>83</v>
      </c>
      <c r="B483" s="18" t="s">
        <v>649</v>
      </c>
      <c r="C483" s="19">
        <v>20511198300654</v>
      </c>
      <c r="D483" s="22">
        <f>9564318.4/1000</f>
        <v>9564.3184000000001</v>
      </c>
      <c r="E483" s="20"/>
    </row>
    <row r="484" spans="1:5">
      <c r="A484" s="17">
        <v>84</v>
      </c>
      <c r="B484" s="18" t="s">
        <v>1976</v>
      </c>
      <c r="C484" s="19">
        <v>702202010263</v>
      </c>
      <c r="D484" s="22">
        <f>9562719.64/1000</f>
        <v>9562.7196400000012</v>
      </c>
      <c r="E484" s="20"/>
    </row>
    <row r="485" spans="1:5">
      <c r="A485" s="17">
        <v>85</v>
      </c>
      <c r="B485" s="18" t="s">
        <v>989</v>
      </c>
      <c r="C485" s="19">
        <v>510200010179</v>
      </c>
      <c r="D485" s="22">
        <f>9469678.38/1000</f>
        <v>9469.6783800000012</v>
      </c>
      <c r="E485" s="20"/>
    </row>
    <row r="486" spans="1:5">
      <c r="A486" s="17">
        <v>86</v>
      </c>
      <c r="B486" s="18" t="s">
        <v>271</v>
      </c>
      <c r="C486" s="19">
        <v>908201010024</v>
      </c>
      <c r="D486" s="22">
        <f>9453533.35/1000</f>
        <v>9453.5333499999997</v>
      </c>
      <c r="E486" s="20"/>
    </row>
    <row r="487" spans="1:5">
      <c r="A487" s="17">
        <v>87</v>
      </c>
      <c r="B487" s="18" t="s">
        <v>262</v>
      </c>
      <c r="C487" s="19">
        <v>1202200710277</v>
      </c>
      <c r="D487" s="22">
        <f>9382762.08/1000</f>
        <v>9382.7620800000004</v>
      </c>
      <c r="E487" s="20"/>
    </row>
    <row r="488" spans="1:5">
      <c r="A488" s="17">
        <v>88</v>
      </c>
      <c r="B488" s="18" t="s">
        <v>264</v>
      </c>
      <c r="C488" s="19">
        <v>2904201310202</v>
      </c>
      <c r="D488" s="22">
        <f>9044344.91/1000</f>
        <v>9044.3449099999998</v>
      </c>
      <c r="E488" s="20"/>
    </row>
    <row r="489" spans="1:5">
      <c r="A489" s="17">
        <v>89</v>
      </c>
      <c r="B489" s="18" t="s">
        <v>265</v>
      </c>
      <c r="C489" s="19">
        <v>204201410134</v>
      </c>
      <c r="D489" s="22">
        <f>8981023.91/1000</f>
        <v>8981.0239099999999</v>
      </c>
      <c r="E489" s="20"/>
    </row>
    <row r="490" spans="1:5">
      <c r="A490" s="17">
        <v>90</v>
      </c>
      <c r="B490" s="18" t="s">
        <v>2851</v>
      </c>
      <c r="C490" s="19">
        <v>2603201910237</v>
      </c>
      <c r="D490" s="22">
        <f>7456813.15/1000</f>
        <v>7456.81315</v>
      </c>
      <c r="E490" s="20"/>
    </row>
    <row r="491" spans="1:5">
      <c r="A491" s="17">
        <v>91</v>
      </c>
      <c r="B491" s="18" t="s">
        <v>1436</v>
      </c>
      <c r="C491" s="19">
        <v>108201910082</v>
      </c>
      <c r="D491" s="22">
        <f>8480512.44/1000</f>
        <v>8480.5124399999986</v>
      </c>
      <c r="E491" s="20"/>
    </row>
    <row r="492" spans="1:5">
      <c r="A492" s="17">
        <v>92</v>
      </c>
      <c r="B492" s="18" t="s">
        <v>1164</v>
      </c>
      <c r="C492" s="19">
        <v>1911202010053</v>
      </c>
      <c r="D492" s="22">
        <f>7790334.66/1000</f>
        <v>7790.3346600000004</v>
      </c>
      <c r="E492" s="20"/>
    </row>
    <row r="493" spans="1:5">
      <c r="A493" s="17">
        <v>93</v>
      </c>
      <c r="B493" s="18" t="s">
        <v>988</v>
      </c>
      <c r="C493" s="19">
        <v>2704202210071</v>
      </c>
      <c r="D493" s="22">
        <f>7777351.4/1000</f>
        <v>7777.3514000000005</v>
      </c>
      <c r="E493" s="20"/>
    </row>
    <row r="494" spans="1:5">
      <c r="A494" s="17">
        <v>94</v>
      </c>
      <c r="B494" s="18" t="s">
        <v>267</v>
      </c>
      <c r="C494" s="19">
        <v>603201210086</v>
      </c>
      <c r="D494" s="22">
        <f>7677399.69/1000</f>
        <v>7677.3996900000002</v>
      </c>
      <c r="E494" s="20"/>
    </row>
    <row r="495" spans="1:5">
      <c r="A495" s="17">
        <v>95</v>
      </c>
      <c r="B495" s="18" t="s">
        <v>283</v>
      </c>
      <c r="C495" s="19">
        <v>1507201510240</v>
      </c>
      <c r="D495" s="22">
        <f>7630411.23/1000</f>
        <v>7630.4112300000006</v>
      </c>
      <c r="E495" s="20"/>
    </row>
    <row r="496" spans="1:5">
      <c r="A496" s="17">
        <v>96</v>
      </c>
      <c r="B496" s="18" t="s">
        <v>2890</v>
      </c>
      <c r="C496" s="19">
        <v>805200810321</v>
      </c>
      <c r="D496" s="22">
        <f>7506303.58/1000</f>
        <v>7506.3035799999998</v>
      </c>
      <c r="E496" s="20"/>
    </row>
    <row r="497" spans="1:5">
      <c r="A497" s="17">
        <v>97</v>
      </c>
      <c r="B497" s="18" t="s">
        <v>281</v>
      </c>
      <c r="C497" s="19">
        <v>2404201910340</v>
      </c>
      <c r="D497" s="22">
        <f>7469297.11/1000</f>
        <v>7469.2971100000004</v>
      </c>
      <c r="E497" s="20"/>
    </row>
    <row r="498" spans="1:5">
      <c r="A498" s="17">
        <v>98</v>
      </c>
      <c r="B498" s="18" t="s">
        <v>2894</v>
      </c>
      <c r="C498" s="19">
        <v>702200810249</v>
      </c>
      <c r="D498" s="22">
        <f>7285203.77/1000</f>
        <v>7285.2037699999992</v>
      </c>
      <c r="E498" s="20"/>
    </row>
    <row r="499" spans="1:5">
      <c r="A499" s="17">
        <v>99</v>
      </c>
      <c r="B499" s="18" t="s">
        <v>268</v>
      </c>
      <c r="C499" s="19">
        <v>2909200810046</v>
      </c>
      <c r="D499" s="22">
        <f>7131567.52/1000</f>
        <v>7131.5675199999996</v>
      </c>
      <c r="E499" s="20"/>
    </row>
    <row r="500" spans="1:5">
      <c r="A500" s="17">
        <v>100</v>
      </c>
      <c r="B500" s="18" t="s">
        <v>269</v>
      </c>
      <c r="C500" s="19">
        <v>1502201010199</v>
      </c>
      <c r="D500" s="22">
        <f>7083511.26/1000</f>
        <v>7083.5112600000002</v>
      </c>
      <c r="E500" s="20"/>
    </row>
    <row r="501" spans="1:5">
      <c r="A501" s="17">
        <v>101</v>
      </c>
      <c r="B501" s="18" t="s">
        <v>992</v>
      </c>
      <c r="C501" s="19">
        <v>21012197701195</v>
      </c>
      <c r="D501" s="22">
        <f>6976112/1000</f>
        <v>6976.1120000000001</v>
      </c>
      <c r="E501" s="20"/>
    </row>
    <row r="502" spans="1:5">
      <c r="A502" s="17">
        <v>102</v>
      </c>
      <c r="B502" s="18" t="s">
        <v>270</v>
      </c>
      <c r="C502" s="19">
        <v>21607198400173</v>
      </c>
      <c r="D502" s="22">
        <f>6942462/1000</f>
        <v>6942.4620000000004</v>
      </c>
      <c r="E502" s="20"/>
    </row>
    <row r="503" spans="1:5">
      <c r="A503" s="17">
        <v>103</v>
      </c>
      <c r="B503" s="18" t="s">
        <v>1849</v>
      </c>
      <c r="C503" s="19">
        <v>703201810368</v>
      </c>
      <c r="D503" s="22">
        <f>5697768.2/1000</f>
        <v>5697.7682000000004</v>
      </c>
      <c r="E503" s="20"/>
    </row>
    <row r="504" spans="1:5">
      <c r="A504" s="17">
        <v>104</v>
      </c>
      <c r="B504" s="18" t="s">
        <v>2895</v>
      </c>
      <c r="C504" s="19">
        <v>2003199010033</v>
      </c>
      <c r="D504" s="22">
        <f>6814986.1/1000</f>
        <v>6814.9861000000001</v>
      </c>
      <c r="E504" s="20">
        <v>9847</v>
      </c>
    </row>
    <row r="505" spans="1:5">
      <c r="A505" s="17">
        <v>105</v>
      </c>
      <c r="B505" s="18" t="s">
        <v>272</v>
      </c>
      <c r="C505" s="19">
        <v>1507201110072</v>
      </c>
      <c r="D505" s="22">
        <f>6682937.2/1000</f>
        <v>6682.9372000000003</v>
      </c>
      <c r="E505" s="20"/>
    </row>
    <row r="506" spans="1:5">
      <c r="A506" s="17">
        <v>106</v>
      </c>
      <c r="B506" s="18" t="s">
        <v>276</v>
      </c>
      <c r="C506" s="19">
        <v>2802201910301</v>
      </c>
      <c r="D506" s="22">
        <f>6553560.05/1000</f>
        <v>6553.56005</v>
      </c>
      <c r="E506" s="20"/>
    </row>
    <row r="507" spans="1:5">
      <c r="A507" s="17">
        <v>107</v>
      </c>
      <c r="B507" s="18" t="s">
        <v>273</v>
      </c>
      <c r="C507" s="19">
        <v>602201710362</v>
      </c>
      <c r="D507" s="22">
        <f>6460372.03/1000</f>
        <v>6460.3720300000004</v>
      </c>
      <c r="E507" s="20"/>
    </row>
    <row r="508" spans="1:5">
      <c r="A508" s="17">
        <v>108</v>
      </c>
      <c r="B508" s="18" t="s">
        <v>1693</v>
      </c>
      <c r="C508" s="19">
        <v>908202210173</v>
      </c>
      <c r="D508" s="22">
        <f>6383255.33/1000</f>
        <v>6383.25533</v>
      </c>
      <c r="E508" s="20"/>
    </row>
    <row r="509" spans="1:5">
      <c r="A509" s="17">
        <v>109</v>
      </c>
      <c r="B509" s="18" t="s">
        <v>274</v>
      </c>
      <c r="C509" s="19">
        <v>1811201610179</v>
      </c>
      <c r="D509" s="22">
        <f>6253972.48/1000</f>
        <v>6253.9724800000004</v>
      </c>
      <c r="E509" s="20"/>
    </row>
    <row r="510" spans="1:5">
      <c r="A510" s="17">
        <v>110</v>
      </c>
      <c r="B510" s="18" t="s">
        <v>275</v>
      </c>
      <c r="C510" s="19">
        <v>110201410063</v>
      </c>
      <c r="D510" s="22">
        <f>6070809.58/1000</f>
        <v>6070.8095800000001</v>
      </c>
      <c r="E510" s="20"/>
    </row>
    <row r="511" spans="1:5">
      <c r="A511" s="17">
        <v>111</v>
      </c>
      <c r="B511" s="18" t="s">
        <v>2891</v>
      </c>
      <c r="C511" s="19">
        <v>1512200010093</v>
      </c>
      <c r="D511" s="22">
        <f>6025588.03/1000</f>
        <v>6025.5880299999999</v>
      </c>
      <c r="E511" s="20"/>
    </row>
    <row r="512" spans="1:5">
      <c r="A512" s="17">
        <v>112</v>
      </c>
      <c r="B512" s="18" t="s">
        <v>994</v>
      </c>
      <c r="C512" s="19">
        <v>511202110135</v>
      </c>
      <c r="D512" s="22">
        <f>6028693.06/1000</f>
        <v>6028.6930599999996</v>
      </c>
      <c r="E512" s="20"/>
    </row>
    <row r="513" spans="1:5">
      <c r="A513" s="17">
        <v>113</v>
      </c>
      <c r="B513" s="18" t="s">
        <v>2909</v>
      </c>
      <c r="C513" s="19">
        <v>2401201410025</v>
      </c>
      <c r="D513" s="22">
        <f>5979836.44/1000</f>
        <v>5979.83644</v>
      </c>
      <c r="E513" s="20"/>
    </row>
    <row r="514" spans="1:5">
      <c r="A514" s="17">
        <v>114</v>
      </c>
      <c r="B514" s="18" t="s">
        <v>278</v>
      </c>
      <c r="C514" s="19">
        <v>21101197300338</v>
      </c>
      <c r="D514" s="22">
        <f>5830944/1000</f>
        <v>5830.9440000000004</v>
      </c>
      <c r="E514" s="20"/>
    </row>
    <row r="515" spans="1:5">
      <c r="A515" s="17">
        <v>115</v>
      </c>
      <c r="B515" s="18" t="s">
        <v>279</v>
      </c>
      <c r="C515" s="19">
        <v>2510201110137</v>
      </c>
      <c r="D515" s="22">
        <f>5782297.71/1000</f>
        <v>5782.2977099999998</v>
      </c>
      <c r="E515" s="20"/>
    </row>
    <row r="516" spans="1:5">
      <c r="A516" s="17">
        <v>116</v>
      </c>
      <c r="B516" s="18" t="s">
        <v>83</v>
      </c>
      <c r="C516" s="19">
        <v>22604196400148</v>
      </c>
      <c r="D516" s="22">
        <f>5740246.57/1000</f>
        <v>5740.2465700000002</v>
      </c>
      <c r="E516" s="20"/>
    </row>
    <row r="517" spans="1:5">
      <c r="A517" s="17">
        <v>117</v>
      </c>
      <c r="B517" s="18" t="s">
        <v>2892</v>
      </c>
      <c r="C517" s="19">
        <v>1802200810172</v>
      </c>
      <c r="D517" s="22">
        <f>5631776/1000</f>
        <v>5631.7759999999998</v>
      </c>
      <c r="E517" s="20"/>
    </row>
    <row r="518" spans="1:5">
      <c r="A518" s="17">
        <v>118</v>
      </c>
      <c r="B518" s="18" t="s">
        <v>1694</v>
      </c>
      <c r="C518" s="19">
        <v>602202010128</v>
      </c>
      <c r="D518" s="22">
        <f>5573245.75/1000</f>
        <v>5573.24575</v>
      </c>
      <c r="E518" s="20"/>
    </row>
    <row r="519" spans="1:5">
      <c r="A519" s="17">
        <v>119</v>
      </c>
      <c r="B519" s="18" t="s">
        <v>280</v>
      </c>
      <c r="C519" s="19">
        <v>1803201010061</v>
      </c>
      <c r="D519" s="22">
        <f>5524507.45/1000</f>
        <v>5524.5074500000001</v>
      </c>
      <c r="E519" s="20"/>
    </row>
    <row r="520" spans="1:5">
      <c r="A520" s="17">
        <v>120</v>
      </c>
      <c r="B520" s="18" t="s">
        <v>2898</v>
      </c>
      <c r="C520" s="19">
        <v>2906200510012</v>
      </c>
      <c r="D520" s="22">
        <f>5523496.74/1000</f>
        <v>5523.4967400000005</v>
      </c>
      <c r="E520" s="20"/>
    </row>
    <row r="521" spans="1:5">
      <c r="A521" s="17">
        <v>121</v>
      </c>
      <c r="B521" s="18" t="s">
        <v>2910</v>
      </c>
      <c r="C521" s="19">
        <v>2112200610154</v>
      </c>
      <c r="D521" s="22">
        <f>5448605.88/1000</f>
        <v>5448.6058800000001</v>
      </c>
      <c r="E521" s="20"/>
    </row>
    <row r="522" spans="1:5">
      <c r="A522" s="17">
        <v>122</v>
      </c>
      <c r="B522" s="18" t="s">
        <v>551</v>
      </c>
      <c r="C522" s="19">
        <v>1307202110135</v>
      </c>
      <c r="D522" s="22">
        <f>5441208.81/1000</f>
        <v>5441.2088099999992</v>
      </c>
      <c r="E522" s="20"/>
    </row>
    <row r="523" spans="1:5">
      <c r="A523" s="17">
        <v>123</v>
      </c>
      <c r="B523" s="18" t="s">
        <v>282</v>
      </c>
      <c r="C523" s="19">
        <v>2701202010262</v>
      </c>
      <c r="D523" s="22">
        <f>5345297.47/1000</f>
        <v>5345.2974699999995</v>
      </c>
      <c r="E523" s="20"/>
    </row>
    <row r="524" spans="1:5">
      <c r="A524" s="17">
        <v>124</v>
      </c>
      <c r="B524" s="18" t="s">
        <v>2852</v>
      </c>
      <c r="C524" s="19">
        <v>1406202210307</v>
      </c>
      <c r="D524" s="22">
        <f>5117890.96/1000</f>
        <v>5117.8909599999997</v>
      </c>
      <c r="E524" s="20"/>
    </row>
    <row r="525" spans="1:5">
      <c r="A525" s="17">
        <v>125</v>
      </c>
      <c r="B525" s="18" t="s">
        <v>1165</v>
      </c>
      <c r="C525" s="19">
        <v>1310202210020</v>
      </c>
      <c r="D525" s="22">
        <f>4999274.99/1000</f>
        <v>4999.2749899999999</v>
      </c>
      <c r="E525" s="20"/>
    </row>
    <row r="526" spans="1:5">
      <c r="A526" s="17">
        <v>126</v>
      </c>
      <c r="B526" s="18" t="s">
        <v>284</v>
      </c>
      <c r="C526" s="19">
        <v>2406201310134</v>
      </c>
      <c r="D526" s="22">
        <f>4970453.82/1000</f>
        <v>4970.4538200000006</v>
      </c>
      <c r="E526" s="20"/>
    </row>
    <row r="527" spans="1:5">
      <c r="A527" s="17">
        <v>127</v>
      </c>
      <c r="B527" s="18" t="s">
        <v>285</v>
      </c>
      <c r="C527" s="19">
        <v>510201610121</v>
      </c>
      <c r="D527" s="22">
        <f>4953041/1000</f>
        <v>4953.0410000000002</v>
      </c>
      <c r="E527" s="20"/>
    </row>
    <row r="528" spans="1:5">
      <c r="A528" s="17">
        <v>128</v>
      </c>
      <c r="B528" s="18" t="s">
        <v>2899</v>
      </c>
      <c r="C528" s="19">
        <v>2509200310085</v>
      </c>
      <c r="D528" s="22">
        <f>3120317.9/1000</f>
        <v>3120.3179</v>
      </c>
      <c r="E528" s="20">
        <v>19617.099999999999</v>
      </c>
    </row>
    <row r="529" spans="1:5">
      <c r="A529" s="17">
        <v>129</v>
      </c>
      <c r="B529" s="18" t="s">
        <v>293</v>
      </c>
      <c r="C529" s="19">
        <v>20606198000222</v>
      </c>
      <c r="D529" s="22">
        <f>4866829.68/1000</f>
        <v>4866.8296799999998</v>
      </c>
      <c r="E529" s="20"/>
    </row>
    <row r="530" spans="1:5">
      <c r="A530" s="17">
        <v>130</v>
      </c>
      <c r="B530" s="18" t="s">
        <v>286</v>
      </c>
      <c r="C530" s="19">
        <v>1105200410072</v>
      </c>
      <c r="D530" s="22">
        <f>4856302.02/1000</f>
        <v>4856.3020199999992</v>
      </c>
      <c r="E530" s="20"/>
    </row>
    <row r="531" spans="1:5">
      <c r="A531" s="17">
        <v>131</v>
      </c>
      <c r="B531" s="18" t="s">
        <v>287</v>
      </c>
      <c r="C531" s="19">
        <v>12808195400054</v>
      </c>
      <c r="D531" s="22">
        <f>4840000/1000</f>
        <v>4840</v>
      </c>
      <c r="E531" s="20"/>
    </row>
    <row r="532" spans="1:5">
      <c r="A532" s="17">
        <v>132</v>
      </c>
      <c r="B532" s="18" t="s">
        <v>2900</v>
      </c>
      <c r="C532" s="19">
        <v>2206200510036</v>
      </c>
      <c r="D532" s="22">
        <f>4845030.78/1000</f>
        <v>4845.03078</v>
      </c>
      <c r="E532" s="20"/>
    </row>
    <row r="533" spans="1:5">
      <c r="A533" s="17">
        <v>133</v>
      </c>
      <c r="B533" s="18" t="s">
        <v>288</v>
      </c>
      <c r="C533" s="19">
        <v>2909201510092</v>
      </c>
      <c r="D533" s="22">
        <f>4760859.24/1000</f>
        <v>4760.8592399999998</v>
      </c>
      <c r="E533" s="20"/>
    </row>
    <row r="534" spans="1:5">
      <c r="A534" s="17">
        <v>134</v>
      </c>
      <c r="B534" s="18" t="s">
        <v>2911</v>
      </c>
      <c r="C534" s="19">
        <v>2605200510281</v>
      </c>
      <c r="D534" s="22">
        <f>4752382.2/1000</f>
        <v>4752.3822</v>
      </c>
      <c r="E534" s="20"/>
    </row>
    <row r="535" spans="1:5">
      <c r="A535" s="17">
        <v>135</v>
      </c>
      <c r="B535" s="18" t="s">
        <v>289</v>
      </c>
      <c r="C535" s="19">
        <v>1303199610156</v>
      </c>
      <c r="D535" s="22">
        <f>4740535.09/1000</f>
        <v>4740.5350899999994</v>
      </c>
      <c r="E535" s="20"/>
    </row>
    <row r="536" spans="1:5">
      <c r="A536" s="17">
        <v>136</v>
      </c>
      <c r="B536" s="18" t="s">
        <v>816</v>
      </c>
      <c r="C536" s="19">
        <v>1807201810230</v>
      </c>
      <c r="D536" s="22">
        <f>4714303.52/1000</f>
        <v>4714.3035199999995</v>
      </c>
      <c r="E536" s="20"/>
    </row>
    <row r="537" spans="1:5">
      <c r="A537" s="17">
        <v>137</v>
      </c>
      <c r="B537" s="18" t="s">
        <v>2431</v>
      </c>
      <c r="C537" s="19">
        <v>507201910143</v>
      </c>
      <c r="D537" s="22">
        <f>4675745.12/1000</f>
        <v>4675.7451200000005</v>
      </c>
      <c r="E537" s="20"/>
    </row>
    <row r="538" spans="1:5">
      <c r="A538" s="17">
        <v>138</v>
      </c>
      <c r="B538" s="18" t="s">
        <v>2434</v>
      </c>
      <c r="C538" s="19">
        <v>2002200910239</v>
      </c>
      <c r="D538" s="22">
        <f>4672180.19/1000</f>
        <v>4672.18019</v>
      </c>
      <c r="E538" s="20"/>
    </row>
    <row r="539" spans="1:5">
      <c r="A539" s="17">
        <v>139</v>
      </c>
      <c r="B539" s="18" t="s">
        <v>290</v>
      </c>
      <c r="C539" s="19">
        <v>1911201510191</v>
      </c>
      <c r="D539" s="22">
        <f>4661232/1000</f>
        <v>4661.232</v>
      </c>
      <c r="E539" s="20"/>
    </row>
    <row r="540" spans="1:5">
      <c r="A540" s="17">
        <v>140</v>
      </c>
      <c r="B540" s="18" t="s">
        <v>291</v>
      </c>
      <c r="C540" s="19">
        <v>2307201010014</v>
      </c>
      <c r="D540" s="22">
        <f>4640602.05/1000</f>
        <v>4640.6020499999995</v>
      </c>
      <c r="E540" s="20"/>
    </row>
    <row r="541" spans="1:5">
      <c r="A541" s="17">
        <v>141</v>
      </c>
      <c r="B541" s="18" t="s">
        <v>306</v>
      </c>
      <c r="C541" s="19">
        <v>2610201710100</v>
      </c>
      <c r="D541" s="22">
        <f>4505809.33/1000</f>
        <v>4505.80933</v>
      </c>
      <c r="E541" s="20"/>
    </row>
    <row r="542" spans="1:5">
      <c r="A542" s="17">
        <v>142</v>
      </c>
      <c r="B542" s="18" t="s">
        <v>2912</v>
      </c>
      <c r="C542" s="19">
        <v>2907200910106</v>
      </c>
      <c r="D542" s="22">
        <f>4618677.48/1000</f>
        <v>4618.6774800000003</v>
      </c>
      <c r="E542" s="20"/>
    </row>
    <row r="543" spans="1:5">
      <c r="A543" s="17">
        <v>143</v>
      </c>
      <c r="B543" s="18" t="s">
        <v>807</v>
      </c>
      <c r="C543" s="19">
        <v>2106202210020</v>
      </c>
      <c r="D543" s="22">
        <f>4458088.16/1000</f>
        <v>4458.0881600000002</v>
      </c>
      <c r="E543" s="20"/>
    </row>
    <row r="544" spans="1:5">
      <c r="A544" s="17">
        <v>144</v>
      </c>
      <c r="B544" s="18" t="s">
        <v>294</v>
      </c>
      <c r="C544" s="19">
        <v>21807198900026</v>
      </c>
      <c r="D544" s="22">
        <f>4319805.32/1000</f>
        <v>4319.8053200000004</v>
      </c>
      <c r="E544" s="20"/>
    </row>
    <row r="545" spans="1:5">
      <c r="A545" s="17">
        <v>145</v>
      </c>
      <c r="B545" s="18" t="s">
        <v>302</v>
      </c>
      <c r="C545" s="19">
        <v>2806201810266</v>
      </c>
      <c r="D545" s="22">
        <f>4345506/1000</f>
        <v>4345.5060000000003</v>
      </c>
      <c r="E545" s="20"/>
    </row>
    <row r="546" spans="1:5">
      <c r="A546" s="17">
        <v>146</v>
      </c>
      <c r="B546" s="18" t="s">
        <v>295</v>
      </c>
      <c r="C546" s="19">
        <v>2907201010153</v>
      </c>
      <c r="D546" s="22">
        <f>4293610.5/1000</f>
        <v>4293.6104999999998</v>
      </c>
      <c r="E546" s="20"/>
    </row>
    <row r="547" spans="1:5">
      <c r="A547" s="17">
        <v>147</v>
      </c>
      <c r="B547" s="18" t="s">
        <v>809</v>
      </c>
      <c r="C547" s="19">
        <v>2505202210014</v>
      </c>
      <c r="D547" s="22">
        <f>4270083.32/1000</f>
        <v>4270.0833200000006</v>
      </c>
      <c r="E547" s="20"/>
    </row>
    <row r="548" spans="1:5">
      <c r="A548" s="17">
        <v>148</v>
      </c>
      <c r="B548" s="18" t="s">
        <v>296</v>
      </c>
      <c r="C548" s="19">
        <v>12512194700036</v>
      </c>
      <c r="D548" s="22">
        <f>4259060/1000</f>
        <v>4259.0600000000004</v>
      </c>
      <c r="E548" s="20"/>
    </row>
    <row r="549" spans="1:5">
      <c r="A549" s="17">
        <v>149</v>
      </c>
      <c r="B549" s="18" t="s">
        <v>297</v>
      </c>
      <c r="C549" s="19">
        <v>23003199001000</v>
      </c>
      <c r="D549" s="22">
        <f>4195326/1000</f>
        <v>4195.326</v>
      </c>
      <c r="E549" s="20"/>
    </row>
    <row r="550" spans="1:5">
      <c r="A550" s="17">
        <v>150</v>
      </c>
      <c r="B550" s="18" t="s">
        <v>2901</v>
      </c>
      <c r="C550" s="19">
        <v>1705201010157</v>
      </c>
      <c r="D550" s="22">
        <f>3992952/1000</f>
        <v>3992.9520000000002</v>
      </c>
      <c r="E550" s="20"/>
    </row>
    <row r="551" spans="1:5">
      <c r="A551" s="17">
        <v>151</v>
      </c>
      <c r="B551" s="18" t="s">
        <v>686</v>
      </c>
      <c r="C551" s="19">
        <v>3101201710316</v>
      </c>
      <c r="D551" s="22">
        <f>4099306.79/1000</f>
        <v>4099.3067899999996</v>
      </c>
      <c r="E551" s="20"/>
    </row>
    <row r="552" spans="1:5">
      <c r="A552" s="17">
        <v>152</v>
      </c>
      <c r="B552" s="18" t="s">
        <v>298</v>
      </c>
      <c r="C552" s="19">
        <v>10903196800151</v>
      </c>
      <c r="D552" s="22">
        <f>3759273.3/1000</f>
        <v>3759.2732999999998</v>
      </c>
      <c r="E552" s="20"/>
    </row>
    <row r="553" spans="1:5">
      <c r="A553" s="17">
        <v>153</v>
      </c>
      <c r="B553" s="18" t="s">
        <v>2902</v>
      </c>
      <c r="C553" s="19">
        <v>1806201210061</v>
      </c>
      <c r="D553" s="22">
        <f>3682051.44/1000</f>
        <v>3682.0514399999997</v>
      </c>
      <c r="E553" s="20"/>
    </row>
    <row r="554" spans="1:5">
      <c r="A554" s="17">
        <v>154</v>
      </c>
      <c r="B554" s="18" t="s">
        <v>815</v>
      </c>
      <c r="C554" s="19">
        <v>806202010312</v>
      </c>
      <c r="D554" s="22">
        <f>3711282.06/1000</f>
        <v>3711.28206</v>
      </c>
      <c r="E554" s="20"/>
    </row>
    <row r="555" spans="1:5">
      <c r="A555" s="17">
        <v>155</v>
      </c>
      <c r="B555" s="18" t="s">
        <v>308</v>
      </c>
      <c r="C555" s="19">
        <v>2609201910400</v>
      </c>
      <c r="D555" s="22">
        <f>3499628/1000</f>
        <v>3499.6280000000002</v>
      </c>
      <c r="E555" s="20"/>
    </row>
    <row r="556" spans="1:5">
      <c r="A556" s="17">
        <v>156</v>
      </c>
      <c r="B556" s="18" t="s">
        <v>2913</v>
      </c>
      <c r="C556" s="19">
        <v>310200810051</v>
      </c>
      <c r="D556" s="22">
        <f>3473824.83/1000</f>
        <v>3473.82483</v>
      </c>
      <c r="E556" s="20"/>
    </row>
    <row r="557" spans="1:5">
      <c r="A557" s="17">
        <v>157</v>
      </c>
      <c r="B557" s="18" t="s">
        <v>1695</v>
      </c>
      <c r="C557" s="19">
        <v>2206202210153</v>
      </c>
      <c r="D557" s="22">
        <f>3415050.96/1000</f>
        <v>3415.05096</v>
      </c>
      <c r="E557" s="20"/>
    </row>
    <row r="558" spans="1:5">
      <c r="A558" s="17">
        <v>158</v>
      </c>
      <c r="B558" s="18" t="s">
        <v>299</v>
      </c>
      <c r="C558" s="19">
        <v>13012196900148</v>
      </c>
      <c r="D558" s="22">
        <f>3370007.38/1000</f>
        <v>3370.00738</v>
      </c>
      <c r="E558" s="20"/>
    </row>
    <row r="559" spans="1:5">
      <c r="A559" s="17">
        <v>159</v>
      </c>
      <c r="B559" s="18" t="s">
        <v>2903</v>
      </c>
      <c r="C559" s="19">
        <v>906201010132</v>
      </c>
      <c r="D559" s="22">
        <f>3379084.05/1000</f>
        <v>3379.0840499999999</v>
      </c>
      <c r="E559" s="20"/>
    </row>
    <row r="560" spans="1:5">
      <c r="A560" s="17">
        <v>160</v>
      </c>
      <c r="B560" s="18" t="s">
        <v>2914</v>
      </c>
      <c r="C560" s="19">
        <v>1508199610141</v>
      </c>
      <c r="D560" s="22">
        <f>3362888.06/1000</f>
        <v>3362.8880600000002</v>
      </c>
      <c r="E560" s="20"/>
    </row>
    <row r="561" spans="1:5">
      <c r="A561" s="17">
        <v>161</v>
      </c>
      <c r="B561" s="18" t="s">
        <v>300</v>
      </c>
      <c r="C561" s="19">
        <v>509201710257</v>
      </c>
      <c r="D561" s="22">
        <f>3290370/1000</f>
        <v>3290.37</v>
      </c>
      <c r="E561" s="20"/>
    </row>
    <row r="562" spans="1:5">
      <c r="A562" s="17">
        <v>162</v>
      </c>
      <c r="B562" s="18" t="s">
        <v>2433</v>
      </c>
      <c r="C562" s="19">
        <v>1007201510262</v>
      </c>
      <c r="D562" s="22">
        <f>3290827.5/1000</f>
        <v>3290.8274999999999</v>
      </c>
      <c r="E562" s="20"/>
    </row>
    <row r="563" spans="1:5">
      <c r="A563" s="17">
        <v>163</v>
      </c>
      <c r="B563" s="18" t="s">
        <v>570</v>
      </c>
      <c r="C563" s="19">
        <v>1805202010096</v>
      </c>
      <c r="D563" s="22">
        <f>3346852.61/1000</f>
        <v>3346.8526099999999</v>
      </c>
      <c r="E563" s="20"/>
    </row>
    <row r="564" spans="1:5">
      <c r="A564" s="17">
        <v>164</v>
      </c>
      <c r="B564" s="18" t="s">
        <v>2916</v>
      </c>
      <c r="C564" s="19">
        <v>910201710159</v>
      </c>
      <c r="D564" s="22">
        <f>3286799.64/1000</f>
        <v>3286.7996400000002</v>
      </c>
      <c r="E564" s="20"/>
    </row>
    <row r="565" spans="1:5">
      <c r="A565" s="17">
        <v>165</v>
      </c>
      <c r="B565" s="18" t="s">
        <v>2917</v>
      </c>
      <c r="C565" s="19">
        <v>1108200510084</v>
      </c>
      <c r="D565" s="22">
        <f>3271273/1000</f>
        <v>3271.2730000000001</v>
      </c>
      <c r="E565" s="20"/>
    </row>
    <row r="566" spans="1:5">
      <c r="A566" s="17">
        <v>166</v>
      </c>
      <c r="B566" s="18" t="s">
        <v>301</v>
      </c>
      <c r="C566" s="19">
        <v>2108200210196</v>
      </c>
      <c r="D566" s="22">
        <f>3244302.28/1000</f>
        <v>3244.3022799999999</v>
      </c>
      <c r="E566" s="20"/>
    </row>
    <row r="567" spans="1:5">
      <c r="A567" s="17">
        <v>167</v>
      </c>
      <c r="B567" s="18" t="s">
        <v>2853</v>
      </c>
      <c r="C567" s="19">
        <v>111202310041</v>
      </c>
      <c r="D567" s="22">
        <f>3189074.71/1000</f>
        <v>3189.0747099999999</v>
      </c>
      <c r="E567" s="20"/>
    </row>
    <row r="568" spans="1:5">
      <c r="A568" s="17">
        <v>168</v>
      </c>
      <c r="B568" s="18" t="s">
        <v>305</v>
      </c>
      <c r="C568" s="19">
        <v>603201910261</v>
      </c>
      <c r="D568" s="22">
        <f>3148092.19/1000</f>
        <v>3148.0921899999998</v>
      </c>
      <c r="E568" s="20"/>
    </row>
    <row r="569" spans="1:5">
      <c r="A569" s="17">
        <v>169</v>
      </c>
      <c r="B569" s="18" t="s">
        <v>2919</v>
      </c>
      <c r="C569" s="19">
        <v>1305199310074</v>
      </c>
      <c r="D569" s="22">
        <f>3145286.29/1000</f>
        <v>3145.28629</v>
      </c>
      <c r="E569" s="20"/>
    </row>
    <row r="570" spans="1:5">
      <c r="A570" s="17">
        <v>170</v>
      </c>
      <c r="B570" s="18" t="s">
        <v>303</v>
      </c>
      <c r="C570" s="19">
        <v>2511201010159</v>
      </c>
      <c r="D570" s="22">
        <f>3134358.06/1000</f>
        <v>3134.35806</v>
      </c>
      <c r="E570" s="20"/>
    </row>
    <row r="571" spans="1:5">
      <c r="A571" s="17">
        <v>171</v>
      </c>
      <c r="B571" s="18" t="s">
        <v>304</v>
      </c>
      <c r="C571" s="19">
        <v>20102197500010</v>
      </c>
      <c r="D571" s="22">
        <f>3136434/1000</f>
        <v>3136.4340000000002</v>
      </c>
      <c r="E571" s="20"/>
    </row>
    <row r="572" spans="1:5">
      <c r="A572" s="17">
        <v>172</v>
      </c>
      <c r="B572" s="18" t="s">
        <v>2915</v>
      </c>
      <c r="C572" s="19">
        <v>2605200610132</v>
      </c>
      <c r="D572" s="22">
        <f>3111611.4/1000</f>
        <v>3111.6113999999998</v>
      </c>
      <c r="E572" s="20"/>
    </row>
    <row r="573" spans="1:5">
      <c r="A573" s="17">
        <v>173</v>
      </c>
      <c r="B573" s="18" t="s">
        <v>2904</v>
      </c>
      <c r="C573" s="19">
        <v>2307200810320</v>
      </c>
      <c r="D573" s="22">
        <f>3039127.73/1000</f>
        <v>3039.1277300000002</v>
      </c>
      <c r="E573" s="20"/>
    </row>
    <row r="574" spans="1:5">
      <c r="A574" s="17">
        <v>174</v>
      </c>
      <c r="B574" s="18" t="s">
        <v>2854</v>
      </c>
      <c r="C574" s="19">
        <v>1903201310030</v>
      </c>
      <c r="D574" s="22">
        <f>2689836.05/1000</f>
        <v>2689.8360499999999</v>
      </c>
      <c r="E574" s="20"/>
    </row>
    <row r="575" spans="1:5">
      <c r="A575" s="17">
        <v>175</v>
      </c>
      <c r="B575" s="18" t="s">
        <v>307</v>
      </c>
      <c r="C575" s="19">
        <v>20601198501106</v>
      </c>
      <c r="D575" s="22">
        <f>3002020/1000</f>
        <v>3002.02</v>
      </c>
      <c r="E575" s="20"/>
    </row>
    <row r="576" spans="1:5">
      <c r="A576" s="17">
        <v>176</v>
      </c>
      <c r="B576" s="18" t="s">
        <v>309</v>
      </c>
      <c r="C576" s="19">
        <v>1811201410071</v>
      </c>
      <c r="D576" s="22">
        <f>2955601.75/1000</f>
        <v>2955.6017499999998</v>
      </c>
      <c r="E576" s="20"/>
    </row>
    <row r="577" spans="1:5">
      <c r="A577" s="17">
        <v>177</v>
      </c>
      <c r="B577" s="18" t="s">
        <v>2435</v>
      </c>
      <c r="C577" s="19">
        <v>3011202110295</v>
      </c>
      <c r="D577" s="22">
        <f>2930699.57/1000</f>
        <v>2930.6995699999998</v>
      </c>
      <c r="E577" s="20"/>
    </row>
    <row r="578" spans="1:5">
      <c r="A578" s="17">
        <v>178</v>
      </c>
      <c r="B578" s="18" t="s">
        <v>2918</v>
      </c>
      <c r="C578" s="19">
        <v>805201310178</v>
      </c>
      <c r="D578" s="22">
        <f>2846846.86/1000</f>
        <v>2846.8468599999997</v>
      </c>
      <c r="E578" s="20"/>
    </row>
    <row r="579" spans="1:5">
      <c r="A579" s="17">
        <v>179</v>
      </c>
      <c r="B579" s="18" t="s">
        <v>311</v>
      </c>
      <c r="C579" s="19">
        <v>1705201310192</v>
      </c>
      <c r="D579" s="22">
        <f>2752700.63/1000</f>
        <v>2752.7006299999998</v>
      </c>
      <c r="E579" s="20"/>
    </row>
    <row r="580" spans="1:5">
      <c r="A580" s="17">
        <v>180</v>
      </c>
      <c r="B580" s="18" t="s">
        <v>374</v>
      </c>
      <c r="C580" s="19">
        <v>1003201110055</v>
      </c>
      <c r="D580" s="22">
        <f>2759686.85/1000</f>
        <v>2759.68685</v>
      </c>
      <c r="E580" s="20"/>
    </row>
    <row r="581" spans="1:5">
      <c r="A581" s="17">
        <v>181</v>
      </c>
      <c r="B581" s="18" t="s">
        <v>317</v>
      </c>
      <c r="C581" s="19">
        <v>2901201810355</v>
      </c>
      <c r="D581" s="22">
        <f>2738102.92/1000</f>
        <v>2738.1029199999998</v>
      </c>
      <c r="E581" s="20"/>
    </row>
    <row r="582" spans="1:5">
      <c r="A582" s="17">
        <v>182</v>
      </c>
      <c r="B582" s="18" t="s">
        <v>310</v>
      </c>
      <c r="C582" s="19">
        <v>20103198802281</v>
      </c>
      <c r="D582" s="22">
        <f>2666960/1000</f>
        <v>2666.96</v>
      </c>
      <c r="E582" s="20"/>
    </row>
    <row r="583" spans="1:5">
      <c r="A583" s="17">
        <v>183</v>
      </c>
      <c r="B583" s="18" t="s">
        <v>808</v>
      </c>
      <c r="C583" s="19">
        <v>2202201810027</v>
      </c>
      <c r="D583" s="22">
        <f>2629159.55/1000</f>
        <v>2629.1595499999999</v>
      </c>
      <c r="E583" s="20"/>
    </row>
    <row r="584" spans="1:5">
      <c r="A584" s="17">
        <v>184</v>
      </c>
      <c r="B584" s="18" t="s">
        <v>2905</v>
      </c>
      <c r="C584" s="19">
        <v>3004200310052</v>
      </c>
      <c r="D584" s="22">
        <f>2535928/1000</f>
        <v>2535.9279999999999</v>
      </c>
      <c r="E584" s="20"/>
    </row>
    <row r="585" spans="1:5">
      <c r="A585" s="17">
        <v>185</v>
      </c>
      <c r="B585" s="18" t="s">
        <v>2906</v>
      </c>
      <c r="C585" s="19">
        <v>3003200610024</v>
      </c>
      <c r="D585" s="22">
        <f>2528180.29/1000</f>
        <v>2528.1802900000002</v>
      </c>
      <c r="E585" s="20"/>
    </row>
    <row r="586" spans="1:5">
      <c r="A586" s="17">
        <v>186</v>
      </c>
      <c r="B586" s="18" t="s">
        <v>2907</v>
      </c>
      <c r="C586" s="19">
        <v>608201310135</v>
      </c>
      <c r="D586" s="22">
        <f>2528570.25/1000</f>
        <v>2528.5702500000002</v>
      </c>
      <c r="E586" s="20"/>
    </row>
    <row r="587" spans="1:5">
      <c r="A587" s="17">
        <v>187</v>
      </c>
      <c r="B587" s="18" t="s">
        <v>1973</v>
      </c>
      <c r="C587" s="19">
        <v>1703202210149</v>
      </c>
      <c r="D587" s="22">
        <f>2486774.64/1000</f>
        <v>2486.7746400000001</v>
      </c>
      <c r="E587" s="20"/>
    </row>
    <row r="588" spans="1:5">
      <c r="A588" s="17">
        <v>188</v>
      </c>
      <c r="B588" s="18" t="s">
        <v>2908</v>
      </c>
      <c r="C588" s="19">
        <v>1211201410149</v>
      </c>
      <c r="D588" s="22">
        <f>2472008.75/1000</f>
        <v>2472.00875</v>
      </c>
      <c r="E588" s="20"/>
    </row>
    <row r="589" spans="1:5">
      <c r="A589" s="17">
        <v>189</v>
      </c>
      <c r="B589" s="18" t="s">
        <v>312</v>
      </c>
      <c r="C589" s="19">
        <v>3101201410161</v>
      </c>
      <c r="D589" s="22">
        <f>2412309.01/1000</f>
        <v>2412.3090099999999</v>
      </c>
      <c r="E589" s="20"/>
    </row>
    <row r="590" spans="1:5">
      <c r="A590" s="17">
        <v>190</v>
      </c>
      <c r="B590" s="18" t="s">
        <v>2855</v>
      </c>
      <c r="C590" s="19">
        <v>2608202210461</v>
      </c>
      <c r="D590" s="22">
        <f>2400116.78/1000</f>
        <v>2400.1167799999998</v>
      </c>
      <c r="E590" s="20"/>
    </row>
    <row r="591" spans="1:5">
      <c r="A591" s="17">
        <v>191</v>
      </c>
      <c r="B591" s="18" t="s">
        <v>313</v>
      </c>
      <c r="C591" s="19">
        <v>1007201510323</v>
      </c>
      <c r="D591" s="22">
        <f>2407107.88/1000</f>
        <v>2407.10788</v>
      </c>
      <c r="E591" s="20"/>
    </row>
    <row r="592" spans="1:5">
      <c r="A592" s="17">
        <v>192</v>
      </c>
      <c r="B592" s="18" t="s">
        <v>329</v>
      </c>
      <c r="C592" s="19">
        <v>1711202110028</v>
      </c>
      <c r="D592" s="22">
        <f>2447606.88/1000</f>
        <v>2447.6068799999998</v>
      </c>
      <c r="E592" s="20"/>
    </row>
    <row r="593" spans="1:5">
      <c r="A593" s="17">
        <v>193</v>
      </c>
      <c r="B593" s="18" t="s">
        <v>328</v>
      </c>
      <c r="C593" s="19">
        <v>1412201710217</v>
      </c>
      <c r="D593" s="22">
        <f>2370818.05/1000</f>
        <v>2370.8180499999999</v>
      </c>
      <c r="E593" s="20"/>
    </row>
    <row r="594" spans="1:5">
      <c r="A594" s="17">
        <v>194</v>
      </c>
      <c r="B594" s="18" t="s">
        <v>2938</v>
      </c>
      <c r="C594" s="19">
        <v>2107202110246</v>
      </c>
      <c r="D594" s="22">
        <f>2323460.72/1000</f>
        <v>2323.46072</v>
      </c>
      <c r="E594" s="20"/>
    </row>
    <row r="595" spans="1:5">
      <c r="A595" s="17">
        <v>195</v>
      </c>
      <c r="B595" s="18" t="s">
        <v>314</v>
      </c>
      <c r="C595" s="19">
        <v>806201010109</v>
      </c>
      <c r="D595" s="22">
        <f>2307971.22/1000</f>
        <v>2307.9712200000004</v>
      </c>
      <c r="E595" s="20"/>
    </row>
    <row r="596" spans="1:5">
      <c r="A596" s="17">
        <v>196</v>
      </c>
      <c r="B596" s="18" t="s">
        <v>995</v>
      </c>
      <c r="C596" s="19">
        <v>1104200510024</v>
      </c>
      <c r="D596" s="22">
        <f>2304907.31/1000</f>
        <v>2304.9073100000001</v>
      </c>
      <c r="E596" s="20"/>
    </row>
    <row r="597" spans="1:5">
      <c r="A597" s="17">
        <v>197</v>
      </c>
      <c r="B597" s="18" t="s">
        <v>2939</v>
      </c>
      <c r="C597" s="19">
        <v>2702200710132</v>
      </c>
      <c r="D597" s="22">
        <f>2279901.51/1000</f>
        <v>2279.9015099999997</v>
      </c>
      <c r="E597" s="20"/>
    </row>
    <row r="598" spans="1:5">
      <c r="A598" s="17">
        <v>198</v>
      </c>
      <c r="B598" s="18" t="s">
        <v>1707</v>
      </c>
      <c r="C598" s="19">
        <v>3012202010061</v>
      </c>
      <c r="D598" s="22">
        <f>2253397.86/1000</f>
        <v>2253.39786</v>
      </c>
      <c r="E598" s="20"/>
    </row>
    <row r="599" spans="1:5">
      <c r="A599" s="17">
        <v>199</v>
      </c>
      <c r="B599" s="18" t="s">
        <v>315</v>
      </c>
      <c r="C599" s="19">
        <v>11702196300657</v>
      </c>
      <c r="D599" s="22">
        <f>2232366.44/1000</f>
        <v>2232.3664399999998</v>
      </c>
      <c r="E599" s="20"/>
    </row>
    <row r="600" spans="1:5">
      <c r="A600" s="17">
        <v>200</v>
      </c>
      <c r="B600" s="18" t="s">
        <v>2920</v>
      </c>
      <c r="C600" s="19">
        <v>104201510079</v>
      </c>
      <c r="D600" s="22">
        <f>1753696.34/1000</f>
        <v>1753.6963400000002</v>
      </c>
      <c r="E600" s="20"/>
    </row>
    <row r="601" spans="1:5">
      <c r="A601" s="17">
        <v>201</v>
      </c>
      <c r="B601" s="18" t="s">
        <v>546</v>
      </c>
      <c r="C601" s="19">
        <v>2512201210121</v>
      </c>
      <c r="D601" s="22">
        <f>2188546/1000</f>
        <v>2188.5459999999998</v>
      </c>
      <c r="E601" s="20"/>
    </row>
    <row r="602" spans="1:5">
      <c r="A602" s="17">
        <v>202</v>
      </c>
      <c r="B602" s="18" t="s">
        <v>2432</v>
      </c>
      <c r="C602" s="19">
        <v>1701202310382</v>
      </c>
      <c r="D602" s="22">
        <f>1524420.88/1000</f>
        <v>1524.4208799999999</v>
      </c>
      <c r="E602" s="20"/>
    </row>
    <row r="603" spans="1:5">
      <c r="A603" s="17">
        <v>203</v>
      </c>
      <c r="B603" s="18" t="s">
        <v>960</v>
      </c>
      <c r="C603" s="19">
        <v>702201810261</v>
      </c>
      <c r="D603" s="22">
        <f>2148202.8/1000</f>
        <v>2148.2028</v>
      </c>
      <c r="E603" s="20"/>
    </row>
    <row r="604" spans="1:5">
      <c r="A604" s="17">
        <v>204</v>
      </c>
      <c r="B604" s="18" t="s">
        <v>2940</v>
      </c>
      <c r="C604" s="19">
        <v>2110201310206</v>
      </c>
      <c r="D604" s="22">
        <f>2141428.6/1000</f>
        <v>2141.4286000000002</v>
      </c>
      <c r="E604" s="20"/>
    </row>
    <row r="605" spans="1:5">
      <c r="A605" s="17">
        <v>205</v>
      </c>
      <c r="B605" s="18" t="s">
        <v>441</v>
      </c>
      <c r="C605" s="19">
        <v>12205197701130</v>
      </c>
      <c r="D605" s="22">
        <f>2061440/1000</f>
        <v>2061.44</v>
      </c>
      <c r="E605" s="20"/>
    </row>
    <row r="606" spans="1:5">
      <c r="A606" s="17">
        <v>206</v>
      </c>
      <c r="B606" s="18" t="s">
        <v>347</v>
      </c>
      <c r="C606" s="19">
        <v>1910202010107</v>
      </c>
      <c r="D606" s="22">
        <f>2015914.88/1000</f>
        <v>2015.9148799999998</v>
      </c>
      <c r="E606" s="20"/>
    </row>
    <row r="607" spans="1:5">
      <c r="A607" s="17">
        <v>207</v>
      </c>
      <c r="B607" s="18" t="s">
        <v>687</v>
      </c>
      <c r="C607" s="19">
        <v>2910202010137</v>
      </c>
      <c r="D607" s="22">
        <f>2006684.42/1000</f>
        <v>2006.6844199999998</v>
      </c>
      <c r="E607" s="20"/>
    </row>
    <row r="608" spans="1:5">
      <c r="A608" s="17">
        <v>208</v>
      </c>
      <c r="B608" s="18" t="s">
        <v>548</v>
      </c>
      <c r="C608" s="19">
        <v>304200310160</v>
      </c>
      <c r="D608" s="22">
        <f>1998855.06/1000</f>
        <v>1998.8550600000001</v>
      </c>
      <c r="E608" s="20"/>
    </row>
    <row r="609" spans="1:5">
      <c r="A609" s="17">
        <v>209</v>
      </c>
      <c r="B609" s="18" t="s">
        <v>1166</v>
      </c>
      <c r="C609" s="19">
        <v>703202310259</v>
      </c>
      <c r="D609" s="22">
        <f>1977155.43/1000</f>
        <v>1977.15543</v>
      </c>
      <c r="E609" s="20"/>
    </row>
    <row r="610" spans="1:5">
      <c r="A610" s="17">
        <v>210</v>
      </c>
      <c r="B610" s="18" t="s">
        <v>1697</v>
      </c>
      <c r="C610" s="19">
        <v>11003196800639</v>
      </c>
      <c r="D610" s="22">
        <f>1970755.23/1000</f>
        <v>1970.75523</v>
      </c>
      <c r="E610" s="20"/>
    </row>
    <row r="611" spans="1:5">
      <c r="A611" s="17">
        <v>211</v>
      </c>
      <c r="B611" s="18" t="s">
        <v>337</v>
      </c>
      <c r="C611" s="19">
        <v>23101199401799</v>
      </c>
      <c r="D611" s="22">
        <f>1924080/1000</f>
        <v>1924.08</v>
      </c>
      <c r="E611" s="20"/>
    </row>
    <row r="612" spans="1:5">
      <c r="A612" s="17">
        <v>212</v>
      </c>
      <c r="B612" s="18" t="s">
        <v>1702</v>
      </c>
      <c r="C612" s="19">
        <v>1902201310270</v>
      </c>
      <c r="D612" s="22">
        <f>1918698.3/1000</f>
        <v>1918.6983</v>
      </c>
      <c r="E612" s="20"/>
    </row>
    <row r="613" spans="1:5">
      <c r="A613" s="17">
        <v>213</v>
      </c>
      <c r="B613" s="18" t="s">
        <v>318</v>
      </c>
      <c r="C613" s="19">
        <v>20609198900546</v>
      </c>
      <c r="D613" s="22">
        <f>1900388/1000</f>
        <v>1900.3879999999999</v>
      </c>
      <c r="E613" s="20"/>
    </row>
    <row r="614" spans="1:5">
      <c r="A614" s="17">
        <v>214</v>
      </c>
      <c r="B614" s="18" t="s">
        <v>319</v>
      </c>
      <c r="C614" s="19">
        <v>20204198801342</v>
      </c>
      <c r="D614" s="22">
        <f>1888038/1000</f>
        <v>1888.038</v>
      </c>
      <c r="E614" s="20"/>
    </row>
    <row r="615" spans="1:5">
      <c r="A615" s="17">
        <v>215</v>
      </c>
      <c r="B615" s="18" t="s">
        <v>1696</v>
      </c>
      <c r="C615" s="19">
        <v>2509200910104</v>
      </c>
      <c r="D615" s="22">
        <f>1884189.5/1000</f>
        <v>1884.1895</v>
      </c>
      <c r="E615" s="20"/>
    </row>
    <row r="616" spans="1:5">
      <c r="A616" s="17">
        <v>216</v>
      </c>
      <c r="B616" s="18" t="s">
        <v>2856</v>
      </c>
      <c r="C616" s="19">
        <v>402201610091</v>
      </c>
      <c r="D616" s="22">
        <f>1873051.07/1000</f>
        <v>1873.05107</v>
      </c>
      <c r="E616" s="20"/>
    </row>
    <row r="617" spans="1:5">
      <c r="A617" s="17">
        <v>217</v>
      </c>
      <c r="B617" s="18" t="s">
        <v>320</v>
      </c>
      <c r="C617" s="19">
        <v>710201610114</v>
      </c>
      <c r="D617" s="22">
        <f>1891073.13/1000</f>
        <v>1891.07313</v>
      </c>
      <c r="E617" s="20"/>
    </row>
    <row r="618" spans="1:5">
      <c r="A618" s="17">
        <v>218</v>
      </c>
      <c r="B618" s="18" t="s">
        <v>2921</v>
      </c>
      <c r="C618" s="19">
        <v>1209200610106</v>
      </c>
      <c r="D618" s="22">
        <f>1859909.65/1000</f>
        <v>1859.9096499999998</v>
      </c>
      <c r="E618" s="20"/>
    </row>
    <row r="619" spans="1:5">
      <c r="A619" s="17">
        <v>219</v>
      </c>
      <c r="B619" s="18" t="s">
        <v>959</v>
      </c>
      <c r="C619" s="19">
        <v>21108197200557</v>
      </c>
      <c r="D619" s="22">
        <f>1835641.7/1000</f>
        <v>1835.6416999999999</v>
      </c>
      <c r="E619" s="20"/>
    </row>
    <row r="620" spans="1:5">
      <c r="A620" s="17">
        <v>220</v>
      </c>
      <c r="B620" s="18" t="s">
        <v>321</v>
      </c>
      <c r="C620" s="19">
        <v>21408198401054</v>
      </c>
      <c r="D620" s="22">
        <f>1809816/1000</f>
        <v>1809.816</v>
      </c>
      <c r="E620" s="20"/>
    </row>
    <row r="621" spans="1:5">
      <c r="A621" s="17">
        <v>221</v>
      </c>
      <c r="B621" s="18" t="s">
        <v>2437</v>
      </c>
      <c r="C621" s="19">
        <v>306202110195</v>
      </c>
      <c r="D621" s="22">
        <f>1798286.25/1000</f>
        <v>1798.2862500000001</v>
      </c>
      <c r="E621" s="20"/>
    </row>
    <row r="622" spans="1:5">
      <c r="A622" s="17">
        <v>222</v>
      </c>
      <c r="B622" s="18" t="s">
        <v>2941</v>
      </c>
      <c r="C622" s="19">
        <v>907200710121</v>
      </c>
      <c r="D622" s="22">
        <f>1800400/1000</f>
        <v>1800.4</v>
      </c>
      <c r="E622" s="20"/>
    </row>
    <row r="623" spans="1:5">
      <c r="A623" s="17">
        <v>223</v>
      </c>
      <c r="B623" s="18" t="s">
        <v>322</v>
      </c>
      <c r="C623" s="19">
        <v>2408201210300</v>
      </c>
      <c r="D623" s="22">
        <f>1783964.27/1000</f>
        <v>1783.9642699999999</v>
      </c>
      <c r="E623" s="20"/>
    </row>
    <row r="624" spans="1:5">
      <c r="A624" s="17">
        <v>224</v>
      </c>
      <c r="B624" s="18" t="s">
        <v>371</v>
      </c>
      <c r="C624" s="19">
        <v>2903201810176</v>
      </c>
      <c r="D624" s="22">
        <f>1785447.38/1000</f>
        <v>1785.4473799999998</v>
      </c>
      <c r="E624" s="20"/>
    </row>
    <row r="625" spans="1:5">
      <c r="A625" s="17">
        <v>225</v>
      </c>
      <c r="B625" s="18" t="s">
        <v>993</v>
      </c>
      <c r="C625" s="19">
        <v>22304198600709</v>
      </c>
      <c r="D625" s="22">
        <f>1787061.04/1000</f>
        <v>1787.06104</v>
      </c>
      <c r="E625" s="20"/>
    </row>
    <row r="626" spans="1:5">
      <c r="A626" s="17">
        <v>226</v>
      </c>
      <c r="B626" s="18" t="s">
        <v>323</v>
      </c>
      <c r="C626" s="19">
        <v>604201510161</v>
      </c>
      <c r="D626" s="22">
        <f>1753164.56/1000</f>
        <v>1753.1645600000002</v>
      </c>
      <c r="E626" s="20"/>
    </row>
    <row r="627" spans="1:5">
      <c r="A627" s="17">
        <v>227</v>
      </c>
      <c r="B627" s="18" t="s">
        <v>958</v>
      </c>
      <c r="C627" s="19">
        <v>2611199210126</v>
      </c>
      <c r="D627" s="22">
        <f>1750764.11/1000</f>
        <v>1750.7641100000001</v>
      </c>
      <c r="E627" s="20">
        <v>2704.3</v>
      </c>
    </row>
    <row r="628" spans="1:5">
      <c r="A628" s="17">
        <v>228</v>
      </c>
      <c r="B628" s="18" t="s">
        <v>324</v>
      </c>
      <c r="C628" s="19">
        <v>108201110176</v>
      </c>
      <c r="D628" s="22">
        <f>1745231.6/1000</f>
        <v>1745.2316000000001</v>
      </c>
      <c r="E628" s="20"/>
    </row>
    <row r="629" spans="1:5">
      <c r="A629" s="17">
        <v>229</v>
      </c>
      <c r="B629" s="18" t="s">
        <v>2942</v>
      </c>
      <c r="C629" s="19">
        <v>811200710112</v>
      </c>
      <c r="D629" s="22">
        <f>1727828.63/1000</f>
        <v>1727.82863</v>
      </c>
      <c r="E629" s="20"/>
    </row>
    <row r="630" spans="1:5">
      <c r="A630" s="17">
        <v>230</v>
      </c>
      <c r="B630" s="18" t="s">
        <v>1700</v>
      </c>
      <c r="C630" s="19">
        <v>2408201610181</v>
      </c>
      <c r="D630" s="22">
        <f>1729010.33/1000</f>
        <v>1729.0103300000001</v>
      </c>
      <c r="E630" s="20"/>
    </row>
    <row r="631" spans="1:5">
      <c r="A631" s="17">
        <v>231</v>
      </c>
      <c r="B631" s="18" t="s">
        <v>325</v>
      </c>
      <c r="C631" s="19">
        <v>2212201110125</v>
      </c>
      <c r="D631" s="22">
        <f>1710733.56/1000</f>
        <v>1710.7335600000001</v>
      </c>
      <c r="E631" s="20"/>
    </row>
    <row r="632" spans="1:5">
      <c r="A632" s="17">
        <v>232</v>
      </c>
      <c r="B632" s="18" t="s">
        <v>650</v>
      </c>
      <c r="C632" s="19">
        <v>2704202210234</v>
      </c>
      <c r="D632" s="22">
        <f>1728110.99/1000</f>
        <v>1728.1109899999999</v>
      </c>
      <c r="E632" s="20"/>
    </row>
    <row r="633" spans="1:5">
      <c r="A633" s="17">
        <v>233</v>
      </c>
      <c r="B633" s="18" t="s">
        <v>2943</v>
      </c>
      <c r="C633" s="19">
        <v>1803200410041</v>
      </c>
      <c r="D633" s="22">
        <f>1691601.28/1000</f>
        <v>1691.6012800000001</v>
      </c>
      <c r="E633" s="20"/>
    </row>
    <row r="634" spans="1:5">
      <c r="A634" s="17">
        <v>234</v>
      </c>
      <c r="B634" s="18" t="s">
        <v>326</v>
      </c>
      <c r="C634" s="19">
        <v>2411201410174</v>
      </c>
      <c r="D634" s="22">
        <f>1664831.06/1000</f>
        <v>1664.83106</v>
      </c>
      <c r="E634" s="20"/>
    </row>
    <row r="635" spans="1:5">
      <c r="A635" s="17">
        <v>235</v>
      </c>
      <c r="B635" s="18" t="s">
        <v>805</v>
      </c>
      <c r="C635" s="19">
        <v>206202010181</v>
      </c>
      <c r="D635" s="22">
        <f>1654944.34/1000</f>
        <v>1654.94434</v>
      </c>
      <c r="E635" s="20"/>
    </row>
    <row r="636" spans="1:5">
      <c r="A636" s="17">
        <v>236</v>
      </c>
      <c r="B636" s="18" t="s">
        <v>2882</v>
      </c>
      <c r="C636" s="19">
        <v>108201210085</v>
      </c>
      <c r="D636" s="22">
        <f>1636110.58/1000</f>
        <v>1636.11058</v>
      </c>
      <c r="E636" s="20"/>
    </row>
    <row r="637" spans="1:5">
      <c r="A637" s="17">
        <v>237</v>
      </c>
      <c r="B637" s="18" t="s">
        <v>2438</v>
      </c>
      <c r="C637" s="19">
        <v>3012201910183</v>
      </c>
      <c r="D637" s="22">
        <f>1630157.82/1000</f>
        <v>1630.1578200000001</v>
      </c>
      <c r="E637" s="20"/>
    </row>
    <row r="638" spans="1:5">
      <c r="A638" s="17">
        <v>238</v>
      </c>
      <c r="B638" s="18" t="s">
        <v>327</v>
      </c>
      <c r="C638" s="19">
        <v>3105201210163</v>
      </c>
      <c r="D638" s="22">
        <f>1626390.46/1000</f>
        <v>1626.3904600000001</v>
      </c>
      <c r="E638" s="20"/>
    </row>
    <row r="639" spans="1:5">
      <c r="A639" s="17">
        <v>239</v>
      </c>
      <c r="B639" s="18" t="s">
        <v>2944</v>
      </c>
      <c r="C639" s="19">
        <v>607200710192</v>
      </c>
      <c r="D639" s="22">
        <f>1614264.27/1000</f>
        <v>1614.2642700000001</v>
      </c>
      <c r="E639" s="20"/>
    </row>
    <row r="640" spans="1:5">
      <c r="A640" s="17">
        <v>240</v>
      </c>
      <c r="B640" s="18" t="s">
        <v>2857</v>
      </c>
      <c r="C640" s="19">
        <v>2904202110231</v>
      </c>
      <c r="D640" s="22">
        <f>581837.95/1000</f>
        <v>581.83794999999998</v>
      </c>
      <c r="E640" s="20"/>
    </row>
    <row r="641" spans="1:5">
      <c r="A641" s="17">
        <v>241</v>
      </c>
      <c r="B641" s="18" t="s">
        <v>1969</v>
      </c>
      <c r="C641" s="19">
        <v>2011201710050</v>
      </c>
      <c r="D641" s="22">
        <f>1604028/1000</f>
        <v>1604.028</v>
      </c>
      <c r="E641" s="20"/>
    </row>
    <row r="642" spans="1:5">
      <c r="A642" s="17">
        <v>242</v>
      </c>
      <c r="B642" s="18" t="s">
        <v>341</v>
      </c>
      <c r="C642" s="19">
        <v>2401201910222</v>
      </c>
      <c r="D642" s="22">
        <f>1585141/1000</f>
        <v>1585.1410000000001</v>
      </c>
      <c r="E642" s="20"/>
    </row>
    <row r="643" spans="1:5">
      <c r="A643" s="17">
        <v>243</v>
      </c>
      <c r="B643" s="18" t="s">
        <v>330</v>
      </c>
      <c r="C643" s="19">
        <v>702200310044</v>
      </c>
      <c r="D643" s="22">
        <f>1578576.69/1000</f>
        <v>1578.5766899999999</v>
      </c>
      <c r="E643" s="20"/>
    </row>
    <row r="644" spans="1:5">
      <c r="A644" s="17">
        <v>244</v>
      </c>
      <c r="B644" s="18" t="s">
        <v>331</v>
      </c>
      <c r="C644" s="19">
        <v>1802201310087</v>
      </c>
      <c r="D644" s="22">
        <f>1568430.37/1000</f>
        <v>1568.43037</v>
      </c>
      <c r="E644" s="20"/>
    </row>
    <row r="645" spans="1:5">
      <c r="A645" s="17">
        <v>245</v>
      </c>
      <c r="B645" s="18" t="s">
        <v>332</v>
      </c>
      <c r="C645" s="19">
        <v>1812201310297</v>
      </c>
      <c r="D645" s="22">
        <f>1554444.51/1000</f>
        <v>1554.44451</v>
      </c>
      <c r="E645" s="20"/>
    </row>
    <row r="646" spans="1:5">
      <c r="A646" s="17">
        <v>246</v>
      </c>
      <c r="B646" s="18" t="s">
        <v>547</v>
      </c>
      <c r="C646" s="19">
        <v>20310197600550</v>
      </c>
      <c r="D646" s="22">
        <f>1546036.93/1000</f>
        <v>1546.03693</v>
      </c>
      <c r="E646" s="20"/>
    </row>
    <row r="647" spans="1:5">
      <c r="A647" s="17">
        <v>247</v>
      </c>
      <c r="B647" s="18" t="s">
        <v>1438</v>
      </c>
      <c r="C647" s="19">
        <v>20112197200373</v>
      </c>
      <c r="D647" s="22">
        <f>1546036.93/1000</f>
        <v>1546.03693</v>
      </c>
      <c r="E647" s="20"/>
    </row>
    <row r="648" spans="1:5">
      <c r="A648" s="17">
        <v>248</v>
      </c>
      <c r="B648" s="18" t="s">
        <v>333</v>
      </c>
      <c r="C648" s="19">
        <v>2408201210367</v>
      </c>
      <c r="D648" s="22">
        <f>1548398.57/1000</f>
        <v>1548.3985700000001</v>
      </c>
      <c r="E648" s="20"/>
    </row>
    <row r="649" spans="1:5">
      <c r="A649" s="17">
        <v>249</v>
      </c>
      <c r="B649" s="18" t="s">
        <v>811</v>
      </c>
      <c r="C649" s="19">
        <v>22907196800761</v>
      </c>
      <c r="D649" s="22">
        <f>1533400/1000</f>
        <v>1533.4</v>
      </c>
      <c r="E649" s="20"/>
    </row>
    <row r="650" spans="1:5">
      <c r="A650" s="17">
        <v>250</v>
      </c>
      <c r="B650" s="18" t="s">
        <v>571</v>
      </c>
      <c r="C650" s="19">
        <v>1401201510088</v>
      </c>
      <c r="D650" s="22">
        <f>1136472.48/1000</f>
        <v>1136.4724799999999</v>
      </c>
      <c r="E650" s="20"/>
    </row>
    <row r="651" spans="1:5">
      <c r="A651" s="17">
        <v>251</v>
      </c>
      <c r="B651" s="18" t="s">
        <v>334</v>
      </c>
      <c r="C651" s="19">
        <v>11712195100380</v>
      </c>
      <c r="D651" s="22">
        <f>1531879.71/1000</f>
        <v>1531.8797099999999</v>
      </c>
      <c r="E651" s="20"/>
    </row>
    <row r="652" spans="1:5">
      <c r="A652" s="17">
        <v>252</v>
      </c>
      <c r="B652" s="18" t="s">
        <v>335</v>
      </c>
      <c r="C652" s="19">
        <v>21003198100209</v>
      </c>
      <c r="D652" s="22">
        <f>1508928/1000</f>
        <v>1508.9280000000001</v>
      </c>
      <c r="E652" s="20"/>
    </row>
    <row r="653" spans="1:5">
      <c r="A653" s="17">
        <v>253</v>
      </c>
      <c r="B653" s="18" t="s">
        <v>336</v>
      </c>
      <c r="C653" s="19">
        <v>2605201710270</v>
      </c>
      <c r="D653" s="22">
        <f>1520600/1000</f>
        <v>1520.6</v>
      </c>
      <c r="E653" s="20"/>
    </row>
    <row r="654" spans="1:5">
      <c r="A654" s="17">
        <v>254</v>
      </c>
      <c r="B654" s="18" t="s">
        <v>2881</v>
      </c>
      <c r="C654" s="19">
        <v>404201210098</v>
      </c>
      <c r="D654" s="22">
        <f>1509967.16/1000</f>
        <v>1509.9671599999999</v>
      </c>
      <c r="E654" s="20"/>
    </row>
    <row r="655" spans="1:5">
      <c r="A655" s="17">
        <v>255</v>
      </c>
      <c r="B655" s="18" t="s">
        <v>338</v>
      </c>
      <c r="C655" s="19">
        <v>2406201410145</v>
      </c>
      <c r="D655" s="22">
        <f>1427363.69/1000</f>
        <v>1427.3636899999999</v>
      </c>
      <c r="E655" s="20"/>
    </row>
    <row r="656" spans="1:5">
      <c r="A656" s="17">
        <v>256</v>
      </c>
      <c r="B656" s="18" t="s">
        <v>2945</v>
      </c>
      <c r="C656" s="19">
        <v>1012199910279</v>
      </c>
      <c r="D656" s="22">
        <f>1416033.71/1000</f>
        <v>1416.0337099999999</v>
      </c>
      <c r="E656" s="20"/>
    </row>
    <row r="657" spans="1:5">
      <c r="A657" s="17">
        <v>257</v>
      </c>
      <c r="B657" s="26" t="s">
        <v>2948</v>
      </c>
      <c r="C657" s="19">
        <v>2502200410183</v>
      </c>
      <c r="D657" s="22">
        <f>1422486.98/1000</f>
        <v>1422.4869799999999</v>
      </c>
      <c r="E657" s="20"/>
    </row>
    <row r="658" spans="1:5">
      <c r="A658" s="17">
        <v>258</v>
      </c>
      <c r="B658" s="18" t="s">
        <v>2946</v>
      </c>
      <c r="C658" s="19">
        <v>204199710230</v>
      </c>
      <c r="D658" s="22">
        <f>1406527.5/1000</f>
        <v>1406.5274999999999</v>
      </c>
      <c r="E658" s="20"/>
    </row>
    <row r="659" spans="1:5">
      <c r="A659" s="17">
        <v>259</v>
      </c>
      <c r="B659" s="18" t="s">
        <v>339</v>
      </c>
      <c r="C659" s="19">
        <v>2408201210415</v>
      </c>
      <c r="D659" s="22">
        <f>1378400/1000</f>
        <v>1378.4</v>
      </c>
      <c r="E659" s="20"/>
    </row>
    <row r="660" spans="1:5">
      <c r="A660" s="17">
        <v>260</v>
      </c>
      <c r="B660" s="18" t="s">
        <v>2922</v>
      </c>
      <c r="C660" s="19">
        <v>2807200410184</v>
      </c>
      <c r="D660" s="22">
        <f>1366486/1000</f>
        <v>1366.4860000000001</v>
      </c>
      <c r="E660" s="20"/>
    </row>
    <row r="661" spans="1:5">
      <c r="A661" s="17">
        <v>261</v>
      </c>
      <c r="B661" s="18" t="s">
        <v>342</v>
      </c>
      <c r="C661" s="19">
        <v>806201010165</v>
      </c>
      <c r="D661" s="22">
        <f>1359643.2/1000</f>
        <v>1359.6432</v>
      </c>
      <c r="E661" s="20"/>
    </row>
    <row r="662" spans="1:5">
      <c r="A662" s="17">
        <v>262</v>
      </c>
      <c r="B662" s="18" t="s">
        <v>574</v>
      </c>
      <c r="C662" s="19">
        <v>1111201310265</v>
      </c>
      <c r="D662" s="22">
        <f>1360109.04/1000</f>
        <v>1360.10904</v>
      </c>
      <c r="E662" s="20">
        <v>1609.3</v>
      </c>
    </row>
    <row r="663" spans="1:5">
      <c r="A663" s="17">
        <v>263</v>
      </c>
      <c r="B663" s="18" t="s">
        <v>2923</v>
      </c>
      <c r="C663" s="19">
        <v>1103201910387</v>
      </c>
      <c r="D663" s="22">
        <f>1357495.19/1000</f>
        <v>1357.4951899999999</v>
      </c>
      <c r="E663" s="20"/>
    </row>
    <row r="664" spans="1:5">
      <c r="A664" s="17">
        <v>264</v>
      </c>
      <c r="B664" s="18" t="s">
        <v>2924</v>
      </c>
      <c r="C664" s="19">
        <v>1804200810344</v>
      </c>
      <c r="D664" s="22">
        <f>1341654/1000</f>
        <v>1341.654</v>
      </c>
      <c r="E664" s="20"/>
    </row>
    <row r="665" spans="1:5">
      <c r="A665" s="17">
        <v>265</v>
      </c>
      <c r="B665" s="18" t="s">
        <v>2947</v>
      </c>
      <c r="C665" s="19">
        <v>102201110166</v>
      </c>
      <c r="D665" s="22">
        <f>1344712.58/1000</f>
        <v>1344.7125800000001</v>
      </c>
      <c r="E665" s="20"/>
    </row>
    <row r="666" spans="1:5">
      <c r="A666" s="17">
        <v>266</v>
      </c>
      <c r="B666" s="18" t="s">
        <v>1168</v>
      </c>
      <c r="C666" s="19">
        <v>209202210201</v>
      </c>
      <c r="D666" s="22">
        <f>1320682.06/1000</f>
        <v>1320.6820600000001</v>
      </c>
      <c r="E666" s="20"/>
    </row>
    <row r="667" spans="1:5">
      <c r="A667" s="17">
        <v>267</v>
      </c>
      <c r="B667" s="18" t="s">
        <v>572</v>
      </c>
      <c r="C667" s="19">
        <v>21502198700078</v>
      </c>
      <c r="D667" s="22">
        <f>1308121.78/1000</f>
        <v>1308.1217799999999</v>
      </c>
      <c r="E667" s="20"/>
    </row>
    <row r="668" spans="1:5">
      <c r="A668" s="17">
        <v>268</v>
      </c>
      <c r="B668" s="18" t="s">
        <v>2858</v>
      </c>
      <c r="C668" s="19">
        <v>21708198601314</v>
      </c>
      <c r="D668" s="22">
        <f>1292478.96/1000</f>
        <v>1292.4789599999999</v>
      </c>
      <c r="E668" s="20"/>
    </row>
    <row r="669" spans="1:5">
      <c r="A669" s="17">
        <v>269</v>
      </c>
      <c r="B669" s="18" t="s">
        <v>2439</v>
      </c>
      <c r="C669" s="19">
        <v>1505201810233</v>
      </c>
      <c r="D669" s="22">
        <f>1291048.18/1000</f>
        <v>1291.04818</v>
      </c>
      <c r="E669" s="20"/>
    </row>
    <row r="670" spans="1:5">
      <c r="A670" s="17">
        <v>270</v>
      </c>
      <c r="B670" s="18" t="s">
        <v>343</v>
      </c>
      <c r="C670" s="19">
        <v>1011201710278</v>
      </c>
      <c r="D670" s="22">
        <f>1270943.28/1000</f>
        <v>1270.94328</v>
      </c>
      <c r="E670" s="20"/>
    </row>
    <row r="671" spans="1:5">
      <c r="A671" s="17">
        <v>271</v>
      </c>
      <c r="B671" s="18" t="s">
        <v>359</v>
      </c>
      <c r="C671" s="19">
        <v>2803201710249</v>
      </c>
      <c r="D671" s="22">
        <f>1259890.5/1000</f>
        <v>1259.8905</v>
      </c>
      <c r="E671" s="20"/>
    </row>
    <row r="672" spans="1:5">
      <c r="A672" s="17">
        <v>272</v>
      </c>
      <c r="B672" s="18" t="s">
        <v>344</v>
      </c>
      <c r="C672" s="19">
        <v>1109200910138</v>
      </c>
      <c r="D672" s="22">
        <f>1256889.23/1000</f>
        <v>1256.88923</v>
      </c>
      <c r="E672" s="20"/>
    </row>
    <row r="673" spans="1:5">
      <c r="A673" s="17">
        <v>273</v>
      </c>
      <c r="B673" s="18" t="s">
        <v>2925</v>
      </c>
      <c r="C673" s="19">
        <v>811201210099</v>
      </c>
      <c r="D673" s="22">
        <f>1260147.78/1000</f>
        <v>1260.14778</v>
      </c>
      <c r="E673" s="20"/>
    </row>
    <row r="674" spans="1:5">
      <c r="A674" s="17">
        <v>274</v>
      </c>
      <c r="B674" s="18" t="s">
        <v>357</v>
      </c>
      <c r="C674" s="19">
        <v>1604201810435</v>
      </c>
      <c r="D674" s="22">
        <f>1237388.6/1000</f>
        <v>1237.3886</v>
      </c>
      <c r="E674" s="20"/>
    </row>
    <row r="675" spans="1:5">
      <c r="A675" s="17">
        <v>275</v>
      </c>
      <c r="B675" s="18" t="s">
        <v>345</v>
      </c>
      <c r="C675" s="19">
        <v>602201810141</v>
      </c>
      <c r="D675" s="22">
        <f>1223839.56/1000</f>
        <v>1223.8395600000001</v>
      </c>
      <c r="E675" s="20"/>
    </row>
    <row r="676" spans="1:5">
      <c r="A676" s="17">
        <v>276</v>
      </c>
      <c r="B676" s="18" t="s">
        <v>549</v>
      </c>
      <c r="C676" s="19">
        <v>502201810136</v>
      </c>
      <c r="D676" s="22">
        <f>1210721.46/1000</f>
        <v>1210.72146</v>
      </c>
      <c r="E676" s="20"/>
    </row>
    <row r="677" spans="1:5">
      <c r="A677" s="17">
        <v>277</v>
      </c>
      <c r="B677" s="18" t="s">
        <v>346</v>
      </c>
      <c r="C677" s="19">
        <v>1107201710042</v>
      </c>
      <c r="D677" s="22">
        <f>1206947.71/1000</f>
        <v>1206.9477099999999</v>
      </c>
      <c r="E677" s="20"/>
    </row>
    <row r="678" spans="1:5">
      <c r="A678" s="17">
        <v>278</v>
      </c>
      <c r="B678" s="18" t="s">
        <v>2859</v>
      </c>
      <c r="C678" s="19">
        <v>20605198800829</v>
      </c>
      <c r="D678" s="22">
        <f>1193371.18/1000</f>
        <v>1193.3711799999999</v>
      </c>
      <c r="E678" s="20"/>
    </row>
    <row r="679" spans="1:5">
      <c r="A679" s="17">
        <v>279</v>
      </c>
      <c r="B679" s="18" t="s">
        <v>1699</v>
      </c>
      <c r="C679" s="19">
        <v>20211199301147</v>
      </c>
      <c r="D679" s="22">
        <f>1176963.69/1000</f>
        <v>1176.96369</v>
      </c>
      <c r="E679" s="20"/>
    </row>
    <row r="680" spans="1:5">
      <c r="A680" s="17">
        <v>280</v>
      </c>
      <c r="B680" s="18" t="s">
        <v>2441</v>
      </c>
      <c r="C680" s="19">
        <v>1307201710146</v>
      </c>
      <c r="D680" s="22">
        <f>1163377.4/1000</f>
        <v>1163.3773999999999</v>
      </c>
      <c r="E680" s="20"/>
    </row>
    <row r="681" spans="1:5">
      <c r="A681" s="17">
        <v>281</v>
      </c>
      <c r="B681" s="18" t="s">
        <v>2949</v>
      </c>
      <c r="C681" s="19">
        <v>1608200610032</v>
      </c>
      <c r="D681" s="22">
        <f>1152694.51/1000</f>
        <v>1152.69451</v>
      </c>
      <c r="E681" s="20">
        <v>38868.1</v>
      </c>
    </row>
    <row r="682" spans="1:5">
      <c r="A682" s="17">
        <v>282</v>
      </c>
      <c r="B682" s="18" t="s">
        <v>2442</v>
      </c>
      <c r="C682" s="19">
        <v>2010200010125</v>
      </c>
      <c r="D682" s="22">
        <f>1148497.28/1000</f>
        <v>1148.49728</v>
      </c>
      <c r="E682" s="20"/>
    </row>
    <row r="683" spans="1:5">
      <c r="A683" s="17">
        <v>283</v>
      </c>
      <c r="B683" s="18" t="s">
        <v>2926</v>
      </c>
      <c r="C683" s="19">
        <v>404200710226</v>
      </c>
      <c r="D683" s="22">
        <f>1147130/1000</f>
        <v>1147.1300000000001</v>
      </c>
      <c r="E683" s="20"/>
    </row>
    <row r="684" spans="1:5">
      <c r="A684" s="17">
        <v>284</v>
      </c>
      <c r="B684" s="18" t="s">
        <v>348</v>
      </c>
      <c r="C684" s="19">
        <v>1803200410039</v>
      </c>
      <c r="D684" s="22">
        <f>1183084.98/1000</f>
        <v>1183.0849800000001</v>
      </c>
      <c r="E684" s="20"/>
    </row>
    <row r="685" spans="1:5">
      <c r="A685" s="17">
        <v>285</v>
      </c>
      <c r="B685" s="18" t="s">
        <v>2950</v>
      </c>
      <c r="C685" s="19">
        <v>1009199210140</v>
      </c>
      <c r="D685" s="22">
        <f>1166158.81/1000</f>
        <v>1166.1588100000001</v>
      </c>
      <c r="E685" s="20">
        <v>1395.5</v>
      </c>
    </row>
    <row r="686" spans="1:5">
      <c r="A686" s="17">
        <v>286</v>
      </c>
      <c r="B686" s="18" t="s">
        <v>1975</v>
      </c>
      <c r="C686" s="19">
        <v>112202010321</v>
      </c>
      <c r="D686" s="22">
        <f>1137057.18/1000</f>
        <v>1137.05718</v>
      </c>
      <c r="E686" s="20"/>
    </row>
    <row r="687" spans="1:5">
      <c r="A687" s="17">
        <v>287</v>
      </c>
      <c r="B687" s="18" t="s">
        <v>2927</v>
      </c>
      <c r="C687" s="19">
        <v>610200510261</v>
      </c>
      <c r="D687" s="22">
        <f>1139723.4/1000</f>
        <v>1139.7233999999999</v>
      </c>
      <c r="E687" s="20"/>
    </row>
    <row r="688" spans="1:5">
      <c r="A688" s="17">
        <v>288</v>
      </c>
      <c r="B688" s="18" t="s">
        <v>2928</v>
      </c>
      <c r="C688" s="21">
        <v>1202200410244</v>
      </c>
      <c r="D688" s="22">
        <f>1128272/1000</f>
        <v>1128.2719999999999</v>
      </c>
      <c r="E688" s="22"/>
    </row>
    <row r="689" spans="1:5">
      <c r="A689" s="17">
        <v>289</v>
      </c>
      <c r="B689" s="18" t="s">
        <v>1169</v>
      </c>
      <c r="C689" s="19">
        <v>1403201910194</v>
      </c>
      <c r="D689" s="22">
        <f>1126102.55/1000</f>
        <v>1126.1025500000001</v>
      </c>
      <c r="E689" s="20"/>
    </row>
    <row r="690" spans="1:5">
      <c r="A690" s="17">
        <v>290</v>
      </c>
      <c r="B690" s="18" t="s">
        <v>1709</v>
      </c>
      <c r="C690" s="19">
        <v>2208202210178</v>
      </c>
      <c r="D690" s="22">
        <f>1096569.75/1000</f>
        <v>1096.5697500000001</v>
      </c>
      <c r="E690" s="20"/>
    </row>
    <row r="691" spans="1:5">
      <c r="A691" s="17">
        <v>291</v>
      </c>
      <c r="B691" s="18" t="s">
        <v>351</v>
      </c>
      <c r="C691" s="19">
        <v>1804201910289</v>
      </c>
      <c r="D691" s="22">
        <f>1094032.22/1000</f>
        <v>1094.0322200000001</v>
      </c>
      <c r="E691" s="20"/>
    </row>
    <row r="692" spans="1:5">
      <c r="A692" s="17">
        <v>292</v>
      </c>
      <c r="B692" s="18" t="s">
        <v>2929</v>
      </c>
      <c r="C692" s="19">
        <v>2303201510058</v>
      </c>
      <c r="D692" s="22">
        <f>1103151.4/1000</f>
        <v>1103.1514</v>
      </c>
      <c r="E692" s="20"/>
    </row>
    <row r="693" spans="1:5">
      <c r="A693" s="17">
        <v>293</v>
      </c>
      <c r="B693" s="18" t="s">
        <v>358</v>
      </c>
      <c r="C693" s="19">
        <v>1102201910497</v>
      </c>
      <c r="D693" s="22">
        <f>1088640/1000</f>
        <v>1088.6400000000001</v>
      </c>
      <c r="E693" s="20"/>
    </row>
    <row r="694" spans="1:5">
      <c r="A694" s="17">
        <v>294</v>
      </c>
      <c r="B694" s="18" t="s">
        <v>2440</v>
      </c>
      <c r="C694" s="19">
        <v>1909202310417</v>
      </c>
      <c r="D694" s="22">
        <f>1085050.8/1000</f>
        <v>1085.0508</v>
      </c>
      <c r="E694" s="20"/>
    </row>
    <row r="695" spans="1:5">
      <c r="A695" s="17">
        <v>295</v>
      </c>
      <c r="B695" s="18" t="s">
        <v>349</v>
      </c>
      <c r="C695" s="19">
        <v>12401198500760</v>
      </c>
      <c r="D695" s="22">
        <f>1075911.33/1000</f>
        <v>1075.9113300000001</v>
      </c>
      <c r="E695" s="20"/>
    </row>
    <row r="696" spans="1:5">
      <c r="A696" s="17">
        <v>296</v>
      </c>
      <c r="B696" s="18" t="s">
        <v>1970</v>
      </c>
      <c r="C696" s="19">
        <v>2712201310303</v>
      </c>
      <c r="D696" s="22">
        <f>1071195.83/1000</f>
        <v>1071.1958300000001</v>
      </c>
      <c r="E696" s="20"/>
    </row>
    <row r="697" spans="1:5">
      <c r="A697" s="17">
        <v>297</v>
      </c>
      <c r="B697" s="18" t="s">
        <v>810</v>
      </c>
      <c r="C697" s="19">
        <v>2806200710041</v>
      </c>
      <c r="D697" s="22">
        <f>1059830.6/1000</f>
        <v>1059.8306</v>
      </c>
      <c r="E697" s="20"/>
    </row>
    <row r="698" spans="1:5">
      <c r="A698" s="17">
        <v>298</v>
      </c>
      <c r="B698" s="18" t="s">
        <v>350</v>
      </c>
      <c r="C698" s="19">
        <v>2301200910169</v>
      </c>
      <c r="D698" s="22">
        <f>1055637/1000</f>
        <v>1055.6369999999999</v>
      </c>
      <c r="E698" s="20"/>
    </row>
    <row r="699" spans="1:5">
      <c r="A699" s="17">
        <v>299</v>
      </c>
      <c r="B699" s="18" t="s">
        <v>2860</v>
      </c>
      <c r="C699" s="19">
        <v>1201202310287</v>
      </c>
      <c r="D699" s="22">
        <f>1031569.49/1000</f>
        <v>1031.5694900000001</v>
      </c>
      <c r="E699" s="20"/>
    </row>
    <row r="700" spans="1:5">
      <c r="A700" s="17">
        <v>300</v>
      </c>
      <c r="B700" s="18" t="s">
        <v>352</v>
      </c>
      <c r="C700" s="19">
        <v>2606201310229</v>
      </c>
      <c r="D700" s="22">
        <f>1028926.54/1000</f>
        <v>1028.9265399999999</v>
      </c>
      <c r="E700" s="20"/>
    </row>
    <row r="701" spans="1:5">
      <c r="A701" s="17">
        <v>301</v>
      </c>
      <c r="B701" s="18" t="s">
        <v>2930</v>
      </c>
      <c r="C701" s="19">
        <v>2802201110197</v>
      </c>
      <c r="D701" s="22">
        <f>1054078.92/1000</f>
        <v>1054.0789199999999</v>
      </c>
      <c r="E701" s="20"/>
    </row>
    <row r="702" spans="1:5">
      <c r="A702" s="17">
        <v>302</v>
      </c>
      <c r="B702" s="18" t="s">
        <v>2931</v>
      </c>
      <c r="C702" s="19">
        <v>1412201010057</v>
      </c>
      <c r="D702" s="22">
        <f>1021943.84/1000</f>
        <v>1021.94384</v>
      </c>
      <c r="E702" s="20">
        <v>590.20000000000005</v>
      </c>
    </row>
    <row r="703" spans="1:5">
      <c r="A703" s="17">
        <v>303</v>
      </c>
      <c r="B703" s="18" t="s">
        <v>353</v>
      </c>
      <c r="C703" s="19">
        <v>2609200810111</v>
      </c>
      <c r="D703" s="22">
        <f>1026390.02/1000</f>
        <v>1026.39002</v>
      </c>
      <c r="E703" s="20"/>
    </row>
    <row r="704" spans="1:5">
      <c r="A704" s="17">
        <v>304</v>
      </c>
      <c r="B704" s="18" t="s">
        <v>2861</v>
      </c>
      <c r="C704" s="19">
        <v>2903201310045</v>
      </c>
      <c r="D704" s="22">
        <f>1005288.85/1000</f>
        <v>1005.28885</v>
      </c>
      <c r="E704" s="20"/>
    </row>
    <row r="705" spans="1:5">
      <c r="A705" s="17">
        <v>305</v>
      </c>
      <c r="B705" s="18" t="s">
        <v>340</v>
      </c>
      <c r="C705" s="19">
        <v>20712196600338</v>
      </c>
      <c r="D705" s="22">
        <f>1002148.19/1000</f>
        <v>1002.14819</v>
      </c>
      <c r="E705" s="20"/>
    </row>
    <row r="706" spans="1:5">
      <c r="A706" s="17">
        <v>306</v>
      </c>
      <c r="B706" s="18" t="s">
        <v>354</v>
      </c>
      <c r="C706" s="19">
        <v>2401199610225</v>
      </c>
      <c r="D706" s="22">
        <f>1001767.24/1000</f>
        <v>1001.76724</v>
      </c>
      <c r="E706" s="20"/>
    </row>
    <row r="707" spans="1:5">
      <c r="A707" s="17">
        <v>307</v>
      </c>
      <c r="B707" s="18" t="s">
        <v>2862</v>
      </c>
      <c r="C707" s="19">
        <v>2211201810095</v>
      </c>
      <c r="D707" s="22">
        <f>1002590.36/1000</f>
        <v>1002.59036</v>
      </c>
      <c r="E707" s="20"/>
    </row>
    <row r="708" spans="1:5">
      <c r="A708" s="17">
        <v>308</v>
      </c>
      <c r="B708" s="18" t="s">
        <v>1306</v>
      </c>
      <c r="C708" s="19">
        <v>12305198750047</v>
      </c>
      <c r="D708" s="22">
        <f>1016922.6/1000</f>
        <v>1016.9226</v>
      </c>
      <c r="E708" s="20"/>
    </row>
    <row r="709" spans="1:5">
      <c r="A709" s="17">
        <v>309</v>
      </c>
      <c r="B709" s="18" t="s">
        <v>355</v>
      </c>
      <c r="C709" s="19">
        <v>1511201310301</v>
      </c>
      <c r="D709" s="22">
        <f>1003692.1/1000</f>
        <v>1003.6921</v>
      </c>
      <c r="E709" s="20"/>
    </row>
    <row r="710" spans="1:5">
      <c r="A710" s="17">
        <v>310</v>
      </c>
      <c r="B710" s="18" t="s">
        <v>356</v>
      </c>
      <c r="C710" s="19">
        <v>1704201710147</v>
      </c>
      <c r="D710" s="22">
        <f>990668.2/1000</f>
        <v>990.66819999999996</v>
      </c>
      <c r="E710" s="20"/>
    </row>
    <row r="711" spans="1:5">
      <c r="A711" s="17">
        <v>311</v>
      </c>
      <c r="B711" s="18" t="s">
        <v>2863</v>
      </c>
      <c r="C711" s="19">
        <v>2406201610126</v>
      </c>
      <c r="D711" s="22">
        <f>980694.98/1000</f>
        <v>980.69497999999999</v>
      </c>
      <c r="E711" s="20"/>
    </row>
    <row r="712" spans="1:5">
      <c r="A712" s="17">
        <v>312</v>
      </c>
      <c r="B712" s="18" t="s">
        <v>2956</v>
      </c>
      <c r="C712" s="19">
        <v>605200510095</v>
      </c>
      <c r="D712" s="22">
        <f>971186.5/1000</f>
        <v>971.18650000000002</v>
      </c>
      <c r="E712" s="20"/>
    </row>
    <row r="713" spans="1:5">
      <c r="A713" s="17">
        <v>313</v>
      </c>
      <c r="B713" s="18" t="s">
        <v>1304</v>
      </c>
      <c r="C713" s="19">
        <v>10108198900506</v>
      </c>
      <c r="D713" s="22">
        <f>968566.35/1000</f>
        <v>968.56634999999994</v>
      </c>
      <c r="E713" s="20"/>
    </row>
    <row r="714" spans="1:5">
      <c r="A714" s="17">
        <v>314</v>
      </c>
      <c r="B714" s="18" t="s">
        <v>2932</v>
      </c>
      <c r="C714" s="19">
        <v>2707200710275</v>
      </c>
      <c r="D714" s="22">
        <f>955028.91/1000</f>
        <v>955.02891</v>
      </c>
      <c r="E714" s="20"/>
    </row>
    <row r="715" spans="1:5">
      <c r="A715" s="17">
        <v>315</v>
      </c>
      <c r="B715" s="18" t="s">
        <v>2951</v>
      </c>
      <c r="C715" s="19">
        <v>1701200810144</v>
      </c>
      <c r="D715" s="22">
        <f>1093226.18/1000</f>
        <v>1093.2261799999999</v>
      </c>
      <c r="E715" s="20"/>
    </row>
    <row r="716" spans="1:5">
      <c r="A716" s="17">
        <v>316</v>
      </c>
      <c r="B716" s="18" t="s">
        <v>2952</v>
      </c>
      <c r="C716" s="19">
        <v>2004198710025</v>
      </c>
      <c r="D716" s="22">
        <f>966999.74/1000</f>
        <v>966.99973999999997</v>
      </c>
      <c r="E716" s="20">
        <v>2690.3</v>
      </c>
    </row>
    <row r="717" spans="1:5">
      <c r="A717" s="17">
        <v>317</v>
      </c>
      <c r="B717" s="18" t="s">
        <v>368</v>
      </c>
      <c r="C717" s="19">
        <v>2602201610192</v>
      </c>
      <c r="D717" s="22">
        <f>963660.78/1000</f>
        <v>963.66078000000005</v>
      </c>
      <c r="E717" s="20"/>
    </row>
    <row r="718" spans="1:5">
      <c r="A718" s="17">
        <v>318</v>
      </c>
      <c r="B718" s="18" t="s">
        <v>2933</v>
      </c>
      <c r="C718" s="19">
        <v>509202210533</v>
      </c>
      <c r="D718" s="22">
        <f>940842.71/1000</f>
        <v>940.84271000000001</v>
      </c>
      <c r="E718" s="20"/>
    </row>
    <row r="719" spans="1:5">
      <c r="A719" s="17">
        <v>319</v>
      </c>
      <c r="B719" s="18" t="s">
        <v>1177</v>
      </c>
      <c r="C719" s="19">
        <v>2904200910095</v>
      </c>
      <c r="D719" s="22">
        <f>927215.21/1000</f>
        <v>927.21520999999996</v>
      </c>
      <c r="E719" s="20"/>
    </row>
    <row r="720" spans="1:5">
      <c r="A720" s="17">
        <v>320</v>
      </c>
      <c r="B720" s="18" t="s">
        <v>2864</v>
      </c>
      <c r="C720" s="19">
        <v>1402201310119</v>
      </c>
      <c r="D720" s="22">
        <f>514976.97/1000</f>
        <v>514.97696999999994</v>
      </c>
      <c r="E720" s="20"/>
    </row>
    <row r="721" spans="1:5">
      <c r="A721" s="17">
        <v>321</v>
      </c>
      <c r="B721" s="18" t="s">
        <v>1439</v>
      </c>
      <c r="C721" s="19">
        <v>3004201910265</v>
      </c>
      <c r="D721" s="22">
        <f>877240.67/1000</f>
        <v>877.24067000000002</v>
      </c>
      <c r="E721" s="20"/>
    </row>
    <row r="722" spans="1:5">
      <c r="A722" s="17">
        <v>322</v>
      </c>
      <c r="B722" s="18" t="s">
        <v>2444</v>
      </c>
      <c r="C722" s="19">
        <v>20704198900470</v>
      </c>
      <c r="D722" s="22">
        <f>869400/1000</f>
        <v>869.4</v>
      </c>
      <c r="E722" s="20"/>
    </row>
    <row r="723" spans="1:5">
      <c r="A723" s="17">
        <v>323</v>
      </c>
      <c r="B723" s="18" t="s">
        <v>2955</v>
      </c>
      <c r="C723" s="19">
        <v>306202210241</v>
      </c>
      <c r="D723" s="22">
        <f>868411.01/1000</f>
        <v>868.41101000000003</v>
      </c>
      <c r="E723" s="20"/>
    </row>
    <row r="724" spans="1:5">
      <c r="A724" s="17">
        <v>324</v>
      </c>
      <c r="B724" s="18" t="s">
        <v>2954</v>
      </c>
      <c r="C724" s="19">
        <v>1212200710227</v>
      </c>
      <c r="D724" s="22">
        <f>866400/1000</f>
        <v>866.4</v>
      </c>
      <c r="E724" s="20"/>
    </row>
    <row r="725" spans="1:5">
      <c r="A725" s="17">
        <v>325</v>
      </c>
      <c r="B725" s="18" t="s">
        <v>2436</v>
      </c>
      <c r="C725" s="19">
        <v>2105202010190</v>
      </c>
      <c r="D725" s="22">
        <f>861731.76/1000</f>
        <v>861.73176000000001</v>
      </c>
      <c r="E725" s="20"/>
    </row>
    <row r="726" spans="1:5">
      <c r="A726" s="17">
        <v>326</v>
      </c>
      <c r="B726" s="18" t="s">
        <v>2443</v>
      </c>
      <c r="C726" s="19">
        <v>1907202310077</v>
      </c>
      <c r="D726" s="22">
        <f>915710.77/1000</f>
        <v>915.71077000000002</v>
      </c>
      <c r="E726" s="20"/>
    </row>
    <row r="727" spans="1:5">
      <c r="A727" s="17">
        <v>327</v>
      </c>
      <c r="B727" s="18" t="s">
        <v>2934</v>
      </c>
      <c r="C727" s="19">
        <v>1503201310172</v>
      </c>
      <c r="D727" s="22">
        <f>865756.52/1000</f>
        <v>865.75652000000002</v>
      </c>
      <c r="E727" s="20"/>
    </row>
    <row r="728" spans="1:5">
      <c r="A728" s="17">
        <v>328</v>
      </c>
      <c r="B728" s="18" t="s">
        <v>2865</v>
      </c>
      <c r="C728" s="19">
        <v>1903201810324</v>
      </c>
      <c r="D728" s="22">
        <f>908346.03/1000</f>
        <v>908.34603000000004</v>
      </c>
      <c r="E728" s="20"/>
    </row>
    <row r="729" spans="1:5">
      <c r="A729" s="17">
        <v>329</v>
      </c>
      <c r="B729" s="18" t="s">
        <v>1170</v>
      </c>
      <c r="C729" s="19">
        <v>2605202210175</v>
      </c>
      <c r="D729" s="22">
        <f>848236.64/1000</f>
        <v>848.23663999999997</v>
      </c>
      <c r="E729" s="20"/>
    </row>
    <row r="730" spans="1:5">
      <c r="A730" s="17">
        <v>330</v>
      </c>
      <c r="B730" s="18" t="s">
        <v>2953</v>
      </c>
      <c r="C730" s="19">
        <v>1204200710454</v>
      </c>
      <c r="D730" s="22">
        <f>838626.48/1000</f>
        <v>838.62648000000002</v>
      </c>
      <c r="E730" s="20"/>
    </row>
    <row r="731" spans="1:5">
      <c r="A731" s="17">
        <v>331</v>
      </c>
      <c r="B731" s="18" t="s">
        <v>689</v>
      </c>
      <c r="C731" s="19">
        <v>1104202210353</v>
      </c>
      <c r="D731" s="22">
        <f>834571.41/1000</f>
        <v>834.57141000000001</v>
      </c>
      <c r="E731" s="20"/>
    </row>
    <row r="732" spans="1:5">
      <c r="A732" s="17">
        <v>332</v>
      </c>
      <c r="B732" s="18" t="s">
        <v>360</v>
      </c>
      <c r="C732" s="19">
        <v>21907197900790</v>
      </c>
      <c r="D732" s="22">
        <f>832980/1000</f>
        <v>832.98</v>
      </c>
      <c r="E732" s="20"/>
    </row>
    <row r="733" spans="1:5">
      <c r="A733" s="17">
        <v>333</v>
      </c>
      <c r="B733" s="18" t="s">
        <v>2866</v>
      </c>
      <c r="C733" s="19">
        <v>1204202210369</v>
      </c>
      <c r="D733" s="22">
        <f>823637.74/1000</f>
        <v>823.63774000000001</v>
      </c>
      <c r="E733" s="20"/>
    </row>
    <row r="734" spans="1:5">
      <c r="A734" s="17">
        <v>334</v>
      </c>
      <c r="B734" s="18" t="s">
        <v>361</v>
      </c>
      <c r="C734" s="19">
        <v>1303201410017</v>
      </c>
      <c r="D734" s="22">
        <f>808387.31/1000</f>
        <v>808.38731000000007</v>
      </c>
      <c r="E734" s="20"/>
    </row>
    <row r="735" spans="1:5">
      <c r="A735" s="17">
        <v>335</v>
      </c>
      <c r="B735" s="18" t="s">
        <v>362</v>
      </c>
      <c r="C735" s="19">
        <v>2912201510170</v>
      </c>
      <c r="D735" s="22">
        <f>807032.4/1000</f>
        <v>807.03240000000005</v>
      </c>
      <c r="E735" s="20"/>
    </row>
    <row r="736" spans="1:5">
      <c r="A736" s="17">
        <v>336</v>
      </c>
      <c r="B736" s="18" t="s">
        <v>363</v>
      </c>
      <c r="C736" s="19">
        <v>20504196900421</v>
      </c>
      <c r="D736" s="22">
        <f>800832.2/1000</f>
        <v>800.83219999999994</v>
      </c>
      <c r="E736" s="20"/>
    </row>
    <row r="737" spans="1:5">
      <c r="A737" s="17">
        <v>337</v>
      </c>
      <c r="B737" s="18" t="s">
        <v>573</v>
      </c>
      <c r="C737" s="19">
        <v>309201910128</v>
      </c>
      <c r="D737" s="22">
        <f>803838.41/1000</f>
        <v>803.83841000000007</v>
      </c>
      <c r="E737" s="20"/>
    </row>
    <row r="738" spans="1:5">
      <c r="A738" s="17">
        <v>338</v>
      </c>
      <c r="B738" s="18" t="s">
        <v>1441</v>
      </c>
      <c r="C738" s="19">
        <v>302201110222</v>
      </c>
      <c r="D738" s="22">
        <f>792159.85/1000</f>
        <v>792.15985000000001</v>
      </c>
      <c r="E738" s="20"/>
    </row>
    <row r="739" spans="1:5">
      <c r="A739" s="17">
        <v>339</v>
      </c>
      <c r="B739" s="18" t="s">
        <v>1701</v>
      </c>
      <c r="C739" s="19">
        <v>2908201110115</v>
      </c>
      <c r="D739" s="22">
        <f>790016.05/1000</f>
        <v>790.01605000000006</v>
      </c>
      <c r="E739" s="20"/>
    </row>
    <row r="740" spans="1:5">
      <c r="A740" s="17">
        <v>340</v>
      </c>
      <c r="B740" s="18" t="s">
        <v>364</v>
      </c>
      <c r="C740" s="19">
        <v>2801201610143</v>
      </c>
      <c r="D740" s="22">
        <f>786023.84/1000</f>
        <v>786.02383999999995</v>
      </c>
      <c r="E740" s="20"/>
    </row>
    <row r="741" spans="1:5">
      <c r="A741" s="17">
        <v>341</v>
      </c>
      <c r="B741" s="18" t="s">
        <v>365</v>
      </c>
      <c r="C741" s="19">
        <v>2405200610165</v>
      </c>
      <c r="D741" s="22">
        <f>814556.81/1000</f>
        <v>814.55681000000004</v>
      </c>
      <c r="E741" s="20"/>
    </row>
    <row r="742" spans="1:5">
      <c r="A742" s="17">
        <v>342</v>
      </c>
      <c r="B742" s="18" t="s">
        <v>552</v>
      </c>
      <c r="C742" s="19">
        <v>22503199300916</v>
      </c>
      <c r="D742" s="22">
        <f>789840/1000</f>
        <v>789.84</v>
      </c>
      <c r="E742" s="20"/>
    </row>
    <row r="743" spans="1:5">
      <c r="A743" s="17">
        <v>343</v>
      </c>
      <c r="B743" s="18" t="s">
        <v>1171</v>
      </c>
      <c r="C743" s="19">
        <v>108202210362</v>
      </c>
      <c r="D743" s="22">
        <f>761503.93/1000</f>
        <v>761.50393000000008</v>
      </c>
      <c r="E743" s="20"/>
    </row>
    <row r="744" spans="1:5">
      <c r="A744" s="17">
        <v>344</v>
      </c>
      <c r="B744" s="18" t="s">
        <v>366</v>
      </c>
      <c r="C744" s="19">
        <v>303200610166</v>
      </c>
      <c r="D744" s="22">
        <f>750828.64/1000</f>
        <v>750.82864000000006</v>
      </c>
      <c r="E744" s="20"/>
    </row>
    <row r="745" spans="1:5">
      <c r="A745" s="17">
        <v>345</v>
      </c>
      <c r="B745" s="18" t="s">
        <v>370</v>
      </c>
      <c r="C745" s="19">
        <v>1504201610273</v>
      </c>
      <c r="D745" s="22">
        <f>738790.87/1000</f>
        <v>738.79087000000004</v>
      </c>
      <c r="E745" s="20"/>
    </row>
    <row r="746" spans="1:5">
      <c r="A746" s="17">
        <v>346</v>
      </c>
      <c r="B746" s="18" t="s">
        <v>367</v>
      </c>
      <c r="C746" s="19">
        <v>1807201410075</v>
      </c>
      <c r="D746" s="22">
        <f>746817.12/1000</f>
        <v>746.81712000000005</v>
      </c>
      <c r="E746" s="20"/>
    </row>
    <row r="747" spans="1:5">
      <c r="A747" s="17">
        <v>347</v>
      </c>
      <c r="B747" s="18" t="s">
        <v>2957</v>
      </c>
      <c r="C747" s="19">
        <v>2203201210152</v>
      </c>
      <c r="D747" s="22">
        <f>726951.28/1000</f>
        <v>726.95128</v>
      </c>
      <c r="E747" s="20"/>
    </row>
    <row r="748" spans="1:5">
      <c r="A748" s="17">
        <v>348</v>
      </c>
      <c r="B748" s="18" t="s">
        <v>2867</v>
      </c>
      <c r="C748" s="19">
        <v>22712199700027</v>
      </c>
      <c r="D748" s="22">
        <f>724360.56/1000</f>
        <v>724.36056000000008</v>
      </c>
      <c r="E748" s="20"/>
    </row>
    <row r="749" spans="1:5">
      <c r="A749" s="17">
        <v>349</v>
      </c>
      <c r="B749" s="18" t="s">
        <v>381</v>
      </c>
      <c r="C749" s="19">
        <v>22205198401235</v>
      </c>
      <c r="D749" s="22">
        <f>720218.33/1000</f>
        <v>720.21832999999992</v>
      </c>
      <c r="E749" s="20"/>
    </row>
    <row r="750" spans="1:5">
      <c r="A750" s="17">
        <v>350</v>
      </c>
      <c r="B750" s="18" t="s">
        <v>1971</v>
      </c>
      <c r="C750" s="19">
        <v>21102198601554</v>
      </c>
      <c r="D750" s="22">
        <f>720201.83/1000</f>
        <v>720.20182999999997</v>
      </c>
      <c r="E750" s="20"/>
    </row>
    <row r="751" spans="1:5">
      <c r="A751" s="17">
        <v>351</v>
      </c>
      <c r="B751" s="18" t="s">
        <v>580</v>
      </c>
      <c r="C751" s="19">
        <v>23006198501145</v>
      </c>
      <c r="D751" s="22">
        <f>718846.74/1000</f>
        <v>718.84673999999995</v>
      </c>
      <c r="E751" s="20"/>
    </row>
    <row r="752" spans="1:5">
      <c r="A752" s="17">
        <v>352</v>
      </c>
      <c r="B752" s="18" t="s">
        <v>688</v>
      </c>
      <c r="C752" s="19">
        <v>23010200000406</v>
      </c>
      <c r="D752" s="22">
        <f>715149/1000</f>
        <v>715.149</v>
      </c>
      <c r="E752" s="20"/>
    </row>
    <row r="753" spans="1:5">
      <c r="A753" s="17">
        <v>353</v>
      </c>
      <c r="B753" s="18" t="s">
        <v>2446</v>
      </c>
      <c r="C753" s="19">
        <v>2808201710254</v>
      </c>
      <c r="D753" s="22">
        <f>715408.53/1000</f>
        <v>715.40853000000004</v>
      </c>
      <c r="E753" s="20"/>
    </row>
    <row r="754" spans="1:5">
      <c r="A754" s="17">
        <v>354</v>
      </c>
      <c r="B754" s="18" t="s">
        <v>369</v>
      </c>
      <c r="C754" s="19">
        <v>20604198300612</v>
      </c>
      <c r="D754" s="22">
        <f>710792.08/1000</f>
        <v>710.79207999999994</v>
      </c>
      <c r="E754" s="20"/>
    </row>
    <row r="755" spans="1:5">
      <c r="A755" s="17">
        <v>355</v>
      </c>
      <c r="B755" s="18" t="s">
        <v>2448</v>
      </c>
      <c r="C755" s="19">
        <v>2301201910138</v>
      </c>
      <c r="D755" s="22">
        <f>707639.59/1000</f>
        <v>707.63959</v>
      </c>
      <c r="E755" s="20"/>
    </row>
    <row r="756" spans="1:5">
      <c r="A756" s="17">
        <v>356</v>
      </c>
      <c r="B756" s="18" t="s">
        <v>2935</v>
      </c>
      <c r="C756" s="19">
        <v>2806201210193</v>
      </c>
      <c r="D756" s="22">
        <f>709928.18/1000</f>
        <v>709.92818</v>
      </c>
      <c r="E756" s="20"/>
    </row>
    <row r="757" spans="1:5">
      <c r="A757" s="17">
        <v>357</v>
      </c>
      <c r="B757" s="18" t="s">
        <v>378</v>
      </c>
      <c r="C757" s="19">
        <v>410202110344</v>
      </c>
      <c r="D757" s="22">
        <f>732238.39/1000</f>
        <v>732.23838999999998</v>
      </c>
      <c r="E757" s="20"/>
    </row>
    <row r="758" spans="1:5">
      <c r="A758" s="17">
        <v>358</v>
      </c>
      <c r="B758" s="18" t="s">
        <v>2447</v>
      </c>
      <c r="C758" s="19">
        <v>2309202210086</v>
      </c>
      <c r="D758" s="22">
        <f>696867.66/1000</f>
        <v>696.86766</v>
      </c>
      <c r="E758" s="20"/>
    </row>
    <row r="759" spans="1:5">
      <c r="A759" s="17">
        <v>359</v>
      </c>
      <c r="B759" s="18" t="s">
        <v>2958</v>
      </c>
      <c r="C759" s="19">
        <v>2212200610030</v>
      </c>
      <c r="D759" s="22">
        <f>708199.52/1000</f>
        <v>708.19952000000001</v>
      </c>
      <c r="E759" s="20"/>
    </row>
    <row r="760" spans="1:5">
      <c r="A760" s="17">
        <v>360</v>
      </c>
      <c r="B760" s="18" t="s">
        <v>1703</v>
      </c>
      <c r="C760" s="19">
        <v>21509198201181</v>
      </c>
      <c r="D760" s="22">
        <f>685209.56/1000</f>
        <v>685.20956000000001</v>
      </c>
      <c r="E760" s="20"/>
    </row>
    <row r="761" spans="1:5">
      <c r="A761" s="17">
        <v>361</v>
      </c>
      <c r="B761" s="18" t="s">
        <v>1172</v>
      </c>
      <c r="C761" s="19">
        <v>311202010172</v>
      </c>
      <c r="D761" s="22">
        <f>678663.16/1000</f>
        <v>678.66316000000006</v>
      </c>
      <c r="E761" s="20"/>
    </row>
    <row r="762" spans="1:5">
      <c r="A762" s="17">
        <v>362</v>
      </c>
      <c r="B762" s="18" t="s">
        <v>579</v>
      </c>
      <c r="C762" s="19">
        <v>21008198301156</v>
      </c>
      <c r="D762" s="22">
        <f>675656/1000</f>
        <v>675.65599999999995</v>
      </c>
      <c r="E762" s="20"/>
    </row>
    <row r="763" spans="1:5">
      <c r="A763" s="17">
        <v>363</v>
      </c>
      <c r="B763" s="18" t="s">
        <v>1706</v>
      </c>
      <c r="C763" s="19">
        <v>2704202210028</v>
      </c>
      <c r="D763" s="22">
        <f>675875.06/1000</f>
        <v>675.87506000000008</v>
      </c>
      <c r="E763" s="20"/>
    </row>
    <row r="764" spans="1:5">
      <c r="A764" s="17">
        <v>364</v>
      </c>
      <c r="B764" s="18" t="s">
        <v>2868</v>
      </c>
      <c r="C764" s="19">
        <v>802202210351</v>
      </c>
      <c r="D764" s="22">
        <f>668589.46/1000</f>
        <v>668.58945999999992</v>
      </c>
      <c r="E764" s="20"/>
    </row>
    <row r="765" spans="1:5">
      <c r="A765" s="17">
        <v>365</v>
      </c>
      <c r="B765" s="18" t="s">
        <v>373</v>
      </c>
      <c r="C765" s="19">
        <v>12301197510035</v>
      </c>
      <c r="D765" s="22">
        <f>662293/1000</f>
        <v>662.29300000000001</v>
      </c>
      <c r="E765" s="20"/>
    </row>
    <row r="766" spans="1:5">
      <c r="A766" s="17">
        <v>366</v>
      </c>
      <c r="B766" s="18" t="s">
        <v>2959</v>
      </c>
      <c r="C766" s="19">
        <v>1609201510085</v>
      </c>
      <c r="D766" s="22">
        <f>671221.4/1000</f>
        <v>671.22140000000002</v>
      </c>
      <c r="E766" s="20"/>
    </row>
    <row r="767" spans="1:5">
      <c r="A767" s="17">
        <v>367</v>
      </c>
      <c r="B767" s="18" t="s">
        <v>814</v>
      </c>
      <c r="C767" s="19">
        <v>606202210059</v>
      </c>
      <c r="D767" s="22">
        <f>649187.03/1000</f>
        <v>649.18703000000005</v>
      </c>
      <c r="E767" s="20"/>
    </row>
    <row r="768" spans="1:5">
      <c r="A768" s="17">
        <v>368</v>
      </c>
      <c r="B768" s="18" t="s">
        <v>2450</v>
      </c>
      <c r="C768" s="19">
        <v>1506202110164</v>
      </c>
      <c r="D768" s="22">
        <f>649315.12/1000</f>
        <v>649.31511999999998</v>
      </c>
      <c r="E768" s="20"/>
    </row>
    <row r="769" spans="1:5">
      <c r="A769" s="17">
        <v>369</v>
      </c>
      <c r="B769" s="18" t="s">
        <v>372</v>
      </c>
      <c r="C769" s="19">
        <v>1005200510192</v>
      </c>
      <c r="D769" s="22">
        <f>671320.6/1000</f>
        <v>671.32060000000001</v>
      </c>
      <c r="E769" s="20"/>
    </row>
    <row r="770" spans="1:5">
      <c r="A770" s="17">
        <v>370</v>
      </c>
      <c r="B770" s="18" t="s">
        <v>1704</v>
      </c>
      <c r="C770" s="19">
        <v>21512198901863</v>
      </c>
      <c r="D770" s="22">
        <f>641347.28/1000</f>
        <v>641.34728000000007</v>
      </c>
      <c r="E770" s="20"/>
    </row>
    <row r="771" spans="1:5">
      <c r="A771" s="17">
        <v>371</v>
      </c>
      <c r="B771" s="18" t="s">
        <v>2960</v>
      </c>
      <c r="C771" s="19">
        <v>3008200710257</v>
      </c>
      <c r="D771" s="22">
        <f>642131/1000</f>
        <v>642.13099999999997</v>
      </c>
      <c r="E771" s="20"/>
    </row>
    <row r="772" spans="1:5">
      <c r="A772" s="17">
        <v>372</v>
      </c>
      <c r="B772" s="18" t="s">
        <v>375</v>
      </c>
      <c r="C772" s="19">
        <v>2412200910287</v>
      </c>
      <c r="D772" s="22">
        <f>640460.78/1000</f>
        <v>640.46078</v>
      </c>
      <c r="E772" s="20"/>
    </row>
    <row r="773" spans="1:5">
      <c r="A773" s="17">
        <v>373</v>
      </c>
      <c r="B773" s="18" t="s">
        <v>2961</v>
      </c>
      <c r="C773" s="19">
        <v>1704201410216</v>
      </c>
      <c r="D773" s="22">
        <f>612956.4/1000</f>
        <v>612.95640000000003</v>
      </c>
      <c r="E773" s="20"/>
    </row>
    <row r="774" spans="1:5">
      <c r="A774" s="17">
        <v>374</v>
      </c>
      <c r="B774" s="18" t="s">
        <v>384</v>
      </c>
      <c r="C774" s="19">
        <v>404202210072</v>
      </c>
      <c r="D774" s="22">
        <f>636446.4/1000</f>
        <v>636.44640000000004</v>
      </c>
      <c r="E774" s="20"/>
    </row>
    <row r="775" spans="1:5">
      <c r="A775" s="17">
        <v>375</v>
      </c>
      <c r="B775" s="18" t="s">
        <v>806</v>
      </c>
      <c r="C775" s="19">
        <v>411201410081</v>
      </c>
      <c r="D775" s="22">
        <f>625165.79/1000</f>
        <v>625.16579000000002</v>
      </c>
      <c r="E775" s="20"/>
    </row>
    <row r="776" spans="1:5">
      <c r="A776" s="17">
        <v>376</v>
      </c>
      <c r="B776" s="18" t="s">
        <v>376</v>
      </c>
      <c r="C776" s="19">
        <v>1408200910118</v>
      </c>
      <c r="D776" s="22">
        <f>613191.21/1000</f>
        <v>613.19120999999996</v>
      </c>
      <c r="E776" s="20"/>
    </row>
    <row r="777" spans="1:5">
      <c r="A777" s="17">
        <v>377</v>
      </c>
      <c r="B777" s="18" t="s">
        <v>2962</v>
      </c>
      <c r="C777" s="19">
        <v>2503200910018</v>
      </c>
      <c r="D777" s="22">
        <f>602576.46/1000</f>
        <v>602.57646</v>
      </c>
      <c r="E777" s="20"/>
    </row>
    <row r="778" spans="1:5">
      <c r="A778" s="17">
        <v>378</v>
      </c>
      <c r="B778" s="18" t="s">
        <v>2936</v>
      </c>
      <c r="C778" s="19">
        <v>1309199910028</v>
      </c>
      <c r="D778" s="22">
        <f>621201.59/1000</f>
        <v>621.20159000000001</v>
      </c>
      <c r="E778" s="20"/>
    </row>
    <row r="779" spans="1:5">
      <c r="A779" s="17">
        <v>379</v>
      </c>
      <c r="B779" s="18" t="s">
        <v>2451</v>
      </c>
      <c r="C779" s="19">
        <v>10705197000020</v>
      </c>
      <c r="D779" s="22">
        <f>588502.04/1000</f>
        <v>588.50204000000008</v>
      </c>
      <c r="E779" s="20"/>
    </row>
    <row r="780" spans="1:5">
      <c r="A780" s="17">
        <v>380</v>
      </c>
      <c r="B780" s="18" t="s">
        <v>1705</v>
      </c>
      <c r="C780" s="19">
        <v>506202010327</v>
      </c>
      <c r="D780" s="22">
        <f>580856.15/1000</f>
        <v>580.85615000000007</v>
      </c>
      <c r="E780" s="20"/>
    </row>
    <row r="781" spans="1:5">
      <c r="A781" s="17">
        <v>381</v>
      </c>
      <c r="B781" s="18" t="s">
        <v>2937</v>
      </c>
      <c r="C781" s="19">
        <v>1607201310186</v>
      </c>
      <c r="D781" s="22">
        <f>604747.16/1000</f>
        <v>604.74716000000001</v>
      </c>
      <c r="E781" s="20"/>
    </row>
    <row r="782" spans="1:5">
      <c r="A782" s="17">
        <v>382</v>
      </c>
      <c r="B782" s="18" t="s">
        <v>2445</v>
      </c>
      <c r="C782" s="19">
        <v>806202210451</v>
      </c>
      <c r="D782" s="22">
        <f>578397.35/1000</f>
        <v>578.39734999999996</v>
      </c>
      <c r="E782" s="20"/>
    </row>
    <row r="783" spans="1:5">
      <c r="A783" s="17">
        <v>383</v>
      </c>
      <c r="B783" s="18" t="s">
        <v>377</v>
      </c>
      <c r="C783" s="19">
        <v>2211201110098</v>
      </c>
      <c r="D783" s="22">
        <f>586428/1000</f>
        <v>586.428</v>
      </c>
      <c r="E783" s="20"/>
    </row>
    <row r="784" spans="1:5">
      <c r="A784" s="17">
        <v>384</v>
      </c>
      <c r="B784" s="18" t="s">
        <v>1977</v>
      </c>
      <c r="C784" s="19">
        <v>404201410038</v>
      </c>
      <c r="D784" s="22">
        <f>573084.79/1000</f>
        <v>573.08479</v>
      </c>
      <c r="E784" s="20"/>
    </row>
    <row r="785" spans="1:5">
      <c r="A785" s="17">
        <v>385</v>
      </c>
      <c r="B785" s="18" t="s">
        <v>1974</v>
      </c>
      <c r="C785" s="19">
        <v>12404196800702</v>
      </c>
      <c r="D785" s="22">
        <f>579573.75/1000</f>
        <v>579.57375000000002</v>
      </c>
      <c r="E785" s="20"/>
    </row>
    <row r="786" spans="1:5">
      <c r="A786" s="17">
        <v>386</v>
      </c>
      <c r="B786" s="18" t="s">
        <v>2962</v>
      </c>
      <c r="C786" s="19">
        <v>3110202210324</v>
      </c>
      <c r="D786" s="22">
        <f>568630.5/1000</f>
        <v>568.63049999999998</v>
      </c>
      <c r="E786" s="20"/>
    </row>
    <row r="787" spans="1:5">
      <c r="A787" s="17">
        <v>387</v>
      </c>
      <c r="B787" s="18" t="s">
        <v>1440</v>
      </c>
      <c r="C787" s="19">
        <v>23112195100101</v>
      </c>
      <c r="D787" s="22">
        <f>565398.67/1000</f>
        <v>565.39867000000004</v>
      </c>
      <c r="E787" s="20"/>
    </row>
    <row r="788" spans="1:5">
      <c r="A788" s="17">
        <v>388</v>
      </c>
      <c r="B788" s="18" t="s">
        <v>383</v>
      </c>
      <c r="C788" s="19">
        <v>2701201410270</v>
      </c>
      <c r="D788" s="22">
        <f>560653.48/1000</f>
        <v>560.65347999999994</v>
      </c>
      <c r="E788" s="20"/>
    </row>
    <row r="789" spans="1:5">
      <c r="A789" s="17">
        <v>389</v>
      </c>
      <c r="B789" s="18" t="s">
        <v>1167</v>
      </c>
      <c r="C789" s="19">
        <v>12009196400572</v>
      </c>
      <c r="D789" s="22">
        <f>572770.19/1000</f>
        <v>572.77018999999996</v>
      </c>
      <c r="E789" s="20"/>
    </row>
    <row r="790" spans="1:5">
      <c r="A790" s="17">
        <v>390</v>
      </c>
      <c r="B790" s="18" t="s">
        <v>2869</v>
      </c>
      <c r="C790" s="19">
        <v>22805198701818</v>
      </c>
      <c r="D790" s="22">
        <f>556783.31/1000</f>
        <v>556.78331000000003</v>
      </c>
      <c r="E790" s="20"/>
    </row>
    <row r="791" spans="1:5">
      <c r="A791" s="17">
        <v>391</v>
      </c>
      <c r="B791" s="18" t="s">
        <v>2963</v>
      </c>
      <c r="C791" s="19">
        <v>2312201410224</v>
      </c>
      <c r="D791" s="22">
        <f>554120.95/1000</f>
        <v>554.12094999999999</v>
      </c>
      <c r="E791" s="20"/>
    </row>
    <row r="792" spans="1:5">
      <c r="A792" s="17">
        <v>392</v>
      </c>
      <c r="B792" s="18" t="s">
        <v>1305</v>
      </c>
      <c r="C792" s="19">
        <v>12109196710014</v>
      </c>
      <c r="D792" s="22">
        <f>553120/1000</f>
        <v>553.12</v>
      </c>
      <c r="E792" s="20"/>
    </row>
    <row r="793" spans="1:5">
      <c r="A793" s="17">
        <v>393</v>
      </c>
      <c r="B793" s="18" t="s">
        <v>2870</v>
      </c>
      <c r="C793" s="19">
        <v>1412202010197</v>
      </c>
      <c r="D793" s="22">
        <f>553308.87/1000</f>
        <v>553.30886999999996</v>
      </c>
      <c r="E793" s="20"/>
    </row>
    <row r="794" spans="1:5">
      <c r="A794" s="17">
        <v>394</v>
      </c>
      <c r="B794" s="18" t="s">
        <v>2964</v>
      </c>
      <c r="C794" s="19">
        <v>511202110280</v>
      </c>
      <c r="D794" s="22">
        <f>539762.49/1000</f>
        <v>539.76248999999996</v>
      </c>
      <c r="E794" s="20"/>
    </row>
    <row r="795" spans="1:5">
      <c r="A795" s="17">
        <v>395</v>
      </c>
      <c r="B795" s="18" t="s">
        <v>382</v>
      </c>
      <c r="C795" s="19">
        <v>1104201810192</v>
      </c>
      <c r="D795" s="22">
        <f>549954.62/1000</f>
        <v>549.95461999999998</v>
      </c>
      <c r="E795" s="20"/>
    </row>
    <row r="796" spans="1:5">
      <c r="A796" s="17">
        <v>396</v>
      </c>
      <c r="B796" s="18" t="s">
        <v>2449</v>
      </c>
      <c r="C796" s="19">
        <v>1804201410288</v>
      </c>
      <c r="D796" s="22">
        <f>540031.04/1000</f>
        <v>540.03104000000008</v>
      </c>
      <c r="E796" s="20"/>
    </row>
    <row r="797" spans="1:5">
      <c r="A797" s="17">
        <v>397</v>
      </c>
      <c r="B797" s="18" t="s">
        <v>2871</v>
      </c>
      <c r="C797" s="19">
        <v>412201710080</v>
      </c>
      <c r="D797" s="22">
        <f>536168.1/1000</f>
        <v>536.16809999999998</v>
      </c>
      <c r="E797" s="20"/>
    </row>
    <row r="798" spans="1:5">
      <c r="A798" s="17">
        <v>398</v>
      </c>
      <c r="B798" s="18" t="s">
        <v>2965</v>
      </c>
      <c r="C798" s="19">
        <v>2411200510210</v>
      </c>
      <c r="D798" s="22">
        <f>553742.75/1000</f>
        <v>553.74275</v>
      </c>
      <c r="E798" s="20"/>
    </row>
    <row r="799" spans="1:5">
      <c r="A799" s="17">
        <v>399</v>
      </c>
      <c r="B799" s="18" t="s">
        <v>1175</v>
      </c>
      <c r="C799" s="19">
        <v>21510199401188</v>
      </c>
      <c r="D799" s="22">
        <f>530593.55/1000</f>
        <v>530.59355000000005</v>
      </c>
      <c r="E799" s="20"/>
    </row>
    <row r="800" spans="1:5">
      <c r="A800" s="17">
        <v>400</v>
      </c>
      <c r="B800" s="18" t="s">
        <v>316</v>
      </c>
      <c r="C800" s="19">
        <v>22107199001475</v>
      </c>
      <c r="D800" s="22">
        <f>529393.44/1000</f>
        <v>529.39343999999994</v>
      </c>
      <c r="E800" s="20"/>
    </row>
    <row r="801" spans="1:5">
      <c r="A801" s="17">
        <v>401</v>
      </c>
      <c r="B801" s="18" t="s">
        <v>2872</v>
      </c>
      <c r="C801" s="19">
        <v>1811201910120</v>
      </c>
      <c r="D801" s="22">
        <f>521956.75/1000</f>
        <v>521.95675000000006</v>
      </c>
      <c r="E801" s="20"/>
    </row>
    <row r="802" spans="1:5">
      <c r="A802" s="17">
        <v>402</v>
      </c>
      <c r="B802" s="18" t="s">
        <v>1708</v>
      </c>
      <c r="C802" s="19">
        <v>12402200100028</v>
      </c>
      <c r="D802" s="22">
        <f>564326.1/1000</f>
        <v>564.3261</v>
      </c>
      <c r="E802" s="20"/>
    </row>
    <row r="803" spans="1:5">
      <c r="A803" s="17">
        <v>403</v>
      </c>
      <c r="B803" s="18" t="s">
        <v>379</v>
      </c>
      <c r="C803" s="19">
        <v>804201110062</v>
      </c>
      <c r="D803" s="22">
        <f>519086/1000</f>
        <v>519.08600000000001</v>
      </c>
      <c r="E803" s="20"/>
    </row>
    <row r="804" spans="1:5">
      <c r="A804" s="17">
        <v>404</v>
      </c>
      <c r="B804" s="18" t="s">
        <v>1176</v>
      </c>
      <c r="C804" s="19">
        <v>2410202210216</v>
      </c>
      <c r="D804" s="22">
        <f>513129.05/1000</f>
        <v>513.12905000000001</v>
      </c>
      <c r="E804" s="20"/>
    </row>
    <row r="805" spans="1:5">
      <c r="A805" s="17">
        <v>405</v>
      </c>
      <c r="B805" s="18" t="s">
        <v>2966</v>
      </c>
      <c r="C805" s="19">
        <v>508200510068</v>
      </c>
      <c r="D805" s="22">
        <f>509969.96/1000</f>
        <v>509.96996000000001</v>
      </c>
      <c r="E805" s="20"/>
    </row>
    <row r="806" spans="1:5">
      <c r="A806" s="17">
        <v>406</v>
      </c>
      <c r="B806" s="18" t="s">
        <v>1173</v>
      </c>
      <c r="C806" s="19">
        <v>20311198500150</v>
      </c>
      <c r="D806" s="22">
        <f>508428/1000</f>
        <v>508.428</v>
      </c>
      <c r="E806" s="20"/>
    </row>
    <row r="807" spans="1:5">
      <c r="A807" s="17">
        <v>407</v>
      </c>
      <c r="B807" s="18" t="s">
        <v>380</v>
      </c>
      <c r="C807" s="19">
        <v>21709198700051</v>
      </c>
      <c r="D807" s="22">
        <f>506488/1000</f>
        <v>506.488</v>
      </c>
      <c r="E807" s="20"/>
    </row>
    <row r="808" spans="1:5">
      <c r="A808" s="17">
        <v>408</v>
      </c>
      <c r="B808" s="18" t="s">
        <v>1174</v>
      </c>
      <c r="C808" s="19">
        <v>111201310118</v>
      </c>
      <c r="D808" s="22">
        <f>513470/1000</f>
        <v>513.47</v>
      </c>
      <c r="E808" s="20"/>
    </row>
    <row r="809" spans="1:5">
      <c r="A809" s="17">
        <v>409</v>
      </c>
      <c r="B809" s="18" t="s">
        <v>2873</v>
      </c>
      <c r="C809" s="19">
        <v>11011197300689</v>
      </c>
      <c r="D809" s="22">
        <f>501716.78/1000</f>
        <v>501.71678000000003</v>
      </c>
      <c r="E809" s="20"/>
    </row>
    <row r="810" spans="1:5">
      <c r="A810" s="17">
        <v>410</v>
      </c>
      <c r="B810" s="18" t="s">
        <v>2987</v>
      </c>
      <c r="C810" s="19" t="s">
        <v>2967</v>
      </c>
      <c r="D810" s="22"/>
      <c r="E810" s="20">
        <v>6156.7759499999993</v>
      </c>
    </row>
    <row r="811" spans="1:5">
      <c r="A811" s="17">
        <v>411</v>
      </c>
      <c r="B811" s="18" t="s">
        <v>2996</v>
      </c>
      <c r="C811" s="19" t="s">
        <v>2968</v>
      </c>
      <c r="D811" s="22"/>
      <c r="E811" s="20">
        <v>3536.7396699999999</v>
      </c>
    </row>
    <row r="812" spans="1:5">
      <c r="A812" s="17">
        <v>412</v>
      </c>
      <c r="B812" s="18" t="s">
        <v>2997</v>
      </c>
      <c r="C812" s="19" t="s">
        <v>2969</v>
      </c>
      <c r="D812" s="22"/>
      <c r="E812" s="20">
        <v>2782.2405100000001</v>
      </c>
    </row>
    <row r="813" spans="1:5">
      <c r="A813" s="17">
        <v>413</v>
      </c>
      <c r="B813" s="18" t="s">
        <v>2988</v>
      </c>
      <c r="C813" s="19" t="s">
        <v>2970</v>
      </c>
      <c r="D813" s="22"/>
      <c r="E813" s="20">
        <v>2481.2992600000002</v>
      </c>
    </row>
    <row r="814" spans="1:5">
      <c r="A814" s="17">
        <v>414</v>
      </c>
      <c r="B814" s="18" t="s">
        <v>2989</v>
      </c>
      <c r="C814" s="19" t="s">
        <v>2971</v>
      </c>
      <c r="D814" s="22"/>
      <c r="E814" s="20">
        <v>1545.2227000000003</v>
      </c>
    </row>
    <row r="815" spans="1:5">
      <c r="A815" s="17">
        <v>415</v>
      </c>
      <c r="B815" s="18" t="s">
        <v>2998</v>
      </c>
      <c r="C815" s="19" t="s">
        <v>2972</v>
      </c>
      <c r="D815" s="22"/>
      <c r="E815" s="20">
        <v>1177.2650700000002</v>
      </c>
    </row>
    <row r="816" spans="1:5">
      <c r="A816" s="17">
        <v>416</v>
      </c>
      <c r="B816" s="18" t="s">
        <v>2990</v>
      </c>
      <c r="C816" s="19" t="s">
        <v>2973</v>
      </c>
      <c r="D816" s="22"/>
      <c r="E816" s="20">
        <v>1099.5330200000001</v>
      </c>
    </row>
    <row r="817" spans="1:5">
      <c r="A817" s="17">
        <v>417</v>
      </c>
      <c r="B817" s="18" t="s">
        <v>2991</v>
      </c>
      <c r="C817" s="19" t="s">
        <v>2974</v>
      </c>
      <c r="D817" s="22"/>
      <c r="E817" s="20">
        <v>1047.9137400000002</v>
      </c>
    </row>
    <row r="818" spans="1:5">
      <c r="A818" s="17">
        <v>418</v>
      </c>
      <c r="B818" s="18" t="s">
        <v>2992</v>
      </c>
      <c r="C818" s="19" t="s">
        <v>2975</v>
      </c>
      <c r="D818" s="22"/>
      <c r="E818" s="20">
        <v>1014.88506</v>
      </c>
    </row>
    <row r="819" spans="1:5">
      <c r="A819" s="17">
        <v>419</v>
      </c>
      <c r="B819" s="18" t="s">
        <v>690</v>
      </c>
      <c r="C819" s="19" t="s">
        <v>2976</v>
      </c>
      <c r="D819" s="22"/>
      <c r="E819" s="20">
        <v>981.34985000000006</v>
      </c>
    </row>
    <row r="820" spans="1:5">
      <c r="A820" s="17">
        <v>420</v>
      </c>
      <c r="B820" s="18" t="s">
        <v>2985</v>
      </c>
      <c r="C820" s="19" t="s">
        <v>2977</v>
      </c>
      <c r="D820" s="22"/>
      <c r="E820" s="20">
        <v>942.13215999999989</v>
      </c>
    </row>
    <row r="821" spans="1:5">
      <c r="A821" s="17">
        <v>421</v>
      </c>
      <c r="B821" s="18" t="s">
        <v>2993</v>
      </c>
      <c r="C821" s="19" t="s">
        <v>2978</v>
      </c>
      <c r="D821" s="22"/>
      <c r="E821" s="20">
        <v>913.19384000000014</v>
      </c>
    </row>
    <row r="822" spans="1:5">
      <c r="A822" s="17">
        <v>422</v>
      </c>
      <c r="B822" s="18" t="s">
        <v>2999</v>
      </c>
      <c r="C822" s="19" t="s">
        <v>2979</v>
      </c>
      <c r="D822" s="22"/>
      <c r="E822" s="20">
        <v>727.30876000000001</v>
      </c>
    </row>
    <row r="823" spans="1:5">
      <c r="A823" s="17">
        <v>423</v>
      </c>
      <c r="B823" s="18" t="s">
        <v>2994</v>
      </c>
      <c r="C823" s="19" t="s">
        <v>2980</v>
      </c>
      <c r="D823" s="22"/>
      <c r="E823" s="20">
        <v>639.38449000000003</v>
      </c>
    </row>
    <row r="824" spans="1:5">
      <c r="A824" s="17">
        <v>424</v>
      </c>
      <c r="B824" s="18" t="s">
        <v>2995</v>
      </c>
      <c r="C824" s="19" t="s">
        <v>2981</v>
      </c>
      <c r="D824" s="22"/>
      <c r="E824" s="20">
        <v>584.38138000000004</v>
      </c>
    </row>
    <row r="825" spans="1:5">
      <c r="A825" s="17">
        <v>425</v>
      </c>
      <c r="B825" s="18" t="s">
        <v>2986</v>
      </c>
      <c r="C825" s="19" t="s">
        <v>2982</v>
      </c>
      <c r="D825" s="22"/>
      <c r="E825" s="20">
        <v>576.58036000000004</v>
      </c>
    </row>
    <row r="826" spans="1:5">
      <c r="A826" s="17">
        <v>426</v>
      </c>
      <c r="B826" s="18" t="s">
        <v>3000</v>
      </c>
      <c r="C826" s="19" t="s">
        <v>2983</v>
      </c>
      <c r="D826" s="22"/>
      <c r="E826" s="20">
        <v>573.18250999999998</v>
      </c>
    </row>
    <row r="827" spans="1:5">
      <c r="A827" s="17">
        <v>427</v>
      </c>
      <c r="B827" s="18" t="s">
        <v>3001</v>
      </c>
      <c r="C827" s="19" t="s">
        <v>2984</v>
      </c>
      <c r="D827" s="22"/>
      <c r="E827" s="20">
        <v>570.67962999999997</v>
      </c>
    </row>
    <row r="828" spans="1:5" s="16" customFormat="1">
      <c r="A828" s="24"/>
      <c r="B828" s="25" t="s">
        <v>2</v>
      </c>
      <c r="C828" s="27"/>
      <c r="D828" s="1">
        <f>SUM(D401:D827)</f>
        <v>8816198.722780006</v>
      </c>
      <c r="E828" s="1">
        <f>SUM(E401:E827)</f>
        <v>147935.46796000001</v>
      </c>
    </row>
    <row r="829" spans="1:5" s="16" customFormat="1">
      <c r="A829" s="4" t="s">
        <v>47</v>
      </c>
      <c r="B829" s="4"/>
      <c r="C829" s="4"/>
      <c r="D829" s="4"/>
      <c r="E829" s="4"/>
    </row>
    <row r="830" spans="1:5">
      <c r="A830" s="24">
        <v>1</v>
      </c>
      <c r="B830" s="18" t="s">
        <v>891</v>
      </c>
      <c r="C830" s="21">
        <v>1405201910295</v>
      </c>
      <c r="D830" s="20">
        <f>960828292.52/1000</f>
        <v>960828.29252000002</v>
      </c>
      <c r="E830" s="20"/>
    </row>
    <row r="831" spans="1:5">
      <c r="A831" s="24">
        <v>2</v>
      </c>
      <c r="B831" s="18" t="s">
        <v>878</v>
      </c>
      <c r="C831" s="21">
        <v>1811201110201</v>
      </c>
      <c r="D831" s="20">
        <f>637472606.66/1000</f>
        <v>637472.60665999993</v>
      </c>
      <c r="E831" s="20"/>
    </row>
    <row r="832" spans="1:5">
      <c r="A832" s="24">
        <v>3</v>
      </c>
      <c r="B832" s="18" t="s">
        <v>735</v>
      </c>
      <c r="C832" s="21">
        <v>1105201710097</v>
      </c>
      <c r="D832" s="20">
        <f>425023610/1000</f>
        <v>425023.61</v>
      </c>
      <c r="E832" s="20"/>
    </row>
    <row r="833" spans="1:5">
      <c r="A833" s="24">
        <v>4</v>
      </c>
      <c r="B833" s="18" t="s">
        <v>834</v>
      </c>
      <c r="C833" s="21">
        <v>3103201710254</v>
      </c>
      <c r="D833" s="20">
        <f>320512644/1000</f>
        <v>320512.64399999997</v>
      </c>
      <c r="E833" s="20"/>
    </row>
    <row r="834" spans="1:5">
      <c r="A834" s="24">
        <v>5</v>
      </c>
      <c r="B834" s="18" t="s">
        <v>1410</v>
      </c>
      <c r="C834" s="21">
        <v>2809202010409</v>
      </c>
      <c r="D834" s="20">
        <f>307693271.45/1000</f>
        <v>307693.27145</v>
      </c>
      <c r="E834" s="20"/>
    </row>
    <row r="835" spans="1:5">
      <c r="A835" s="24">
        <v>6</v>
      </c>
      <c r="B835" s="18" t="s">
        <v>930</v>
      </c>
      <c r="C835" s="21">
        <v>1505201710222</v>
      </c>
      <c r="D835" s="20">
        <f>306494738.52/1000</f>
        <v>306494.73851999996</v>
      </c>
      <c r="E835" s="20"/>
    </row>
    <row r="836" spans="1:5">
      <c r="A836" s="24">
        <v>7</v>
      </c>
      <c r="B836" s="18" t="s">
        <v>880</v>
      </c>
      <c r="C836" s="21">
        <v>1506201610244</v>
      </c>
      <c r="D836" s="20">
        <f>285954665.19/1000</f>
        <v>285954.66518999997</v>
      </c>
      <c r="E836" s="20"/>
    </row>
    <row r="837" spans="1:5">
      <c r="A837" s="24">
        <v>8</v>
      </c>
      <c r="B837" s="18" t="s">
        <v>868</v>
      </c>
      <c r="C837" s="21">
        <v>1506201610257</v>
      </c>
      <c r="D837" s="20">
        <f>203092093.97/1000</f>
        <v>203092.09396999999</v>
      </c>
      <c r="E837" s="20"/>
    </row>
    <row r="838" spans="1:5">
      <c r="A838" s="24">
        <v>9</v>
      </c>
      <c r="B838" s="18" t="s">
        <v>1713</v>
      </c>
      <c r="C838" s="21">
        <v>3105201710123</v>
      </c>
      <c r="D838" s="20">
        <f>157102260.28/1000</f>
        <v>157102.26027999999</v>
      </c>
      <c r="E838" s="20"/>
    </row>
    <row r="839" spans="1:5">
      <c r="A839" s="24">
        <v>10</v>
      </c>
      <c r="B839" s="18" t="s">
        <v>3033</v>
      </c>
      <c r="C839" s="21">
        <v>509200310101</v>
      </c>
      <c r="D839" s="20">
        <f>155290673.84/1000</f>
        <v>155290.67384</v>
      </c>
      <c r="E839" s="20"/>
    </row>
    <row r="840" spans="1:5">
      <c r="A840" s="24">
        <v>11</v>
      </c>
      <c r="B840" s="18" t="s">
        <v>853</v>
      </c>
      <c r="C840" s="21">
        <v>2102201110042</v>
      </c>
      <c r="D840" s="20">
        <f>106681149.94/1000</f>
        <v>106681.14994</v>
      </c>
      <c r="E840" s="20"/>
    </row>
    <row r="841" spans="1:5">
      <c r="A841" s="24">
        <v>12</v>
      </c>
      <c r="B841" s="18" t="s">
        <v>861</v>
      </c>
      <c r="C841" s="21">
        <v>302201410082</v>
      </c>
      <c r="D841" s="20">
        <f>104982014/1000</f>
        <v>104982.014</v>
      </c>
      <c r="E841" s="20"/>
    </row>
    <row r="842" spans="1:5">
      <c r="A842" s="24">
        <v>13</v>
      </c>
      <c r="B842" s="18" t="s">
        <v>752</v>
      </c>
      <c r="C842" s="21">
        <v>2310201510119</v>
      </c>
      <c r="D842" s="20">
        <f>90765055.05/1000</f>
        <v>90765.055049999995</v>
      </c>
      <c r="E842" s="20"/>
    </row>
    <row r="843" spans="1:5">
      <c r="A843" s="24">
        <v>14</v>
      </c>
      <c r="B843" s="18" t="s">
        <v>888</v>
      </c>
      <c r="C843" s="21">
        <v>705201610139</v>
      </c>
      <c r="D843" s="20">
        <f>83633470/1000</f>
        <v>83633.47</v>
      </c>
      <c r="E843" s="20"/>
    </row>
    <row r="844" spans="1:5">
      <c r="A844" s="24">
        <v>15</v>
      </c>
      <c r="B844" s="18" t="s">
        <v>2408</v>
      </c>
      <c r="C844" s="21">
        <v>2305201810372</v>
      </c>
      <c r="D844" s="20">
        <f>75743288.84/1000</f>
        <v>75743.288840000008</v>
      </c>
      <c r="E844" s="20"/>
    </row>
    <row r="845" spans="1:5">
      <c r="A845" s="24">
        <v>16</v>
      </c>
      <c r="B845" s="18" t="s">
        <v>471</v>
      </c>
      <c r="C845" s="21">
        <v>1104201610127</v>
      </c>
      <c r="D845" s="20">
        <f>68917025.48/1000</f>
        <v>68917.025480000011</v>
      </c>
      <c r="E845" s="20"/>
    </row>
    <row r="846" spans="1:5">
      <c r="A846" s="24">
        <v>17</v>
      </c>
      <c r="B846" s="18" t="s">
        <v>879</v>
      </c>
      <c r="C846" s="21">
        <v>3103201710178</v>
      </c>
      <c r="D846" s="20">
        <f>57361077.32/1000</f>
        <v>57361.077319999997</v>
      </c>
      <c r="E846" s="20"/>
    </row>
    <row r="847" spans="1:5">
      <c r="A847" s="24">
        <v>18</v>
      </c>
      <c r="B847" s="18" t="s">
        <v>876</v>
      </c>
      <c r="C847" s="21">
        <v>1011201610137</v>
      </c>
      <c r="D847" s="20">
        <f>48428880/1000</f>
        <v>48428.88</v>
      </c>
      <c r="E847" s="20"/>
    </row>
    <row r="848" spans="1:5">
      <c r="A848" s="24">
        <v>19</v>
      </c>
      <c r="B848" s="18" t="s">
        <v>826</v>
      </c>
      <c r="C848" s="21">
        <v>2004202210161</v>
      </c>
      <c r="D848" s="20">
        <f>45024505.93/1000</f>
        <v>45024.505929999999</v>
      </c>
      <c r="E848" s="20">
        <v>622.6</v>
      </c>
    </row>
    <row r="849" spans="1:5">
      <c r="A849" s="24">
        <v>20</v>
      </c>
      <c r="B849" s="18" t="s">
        <v>780</v>
      </c>
      <c r="C849" s="21">
        <v>2101201610064</v>
      </c>
      <c r="D849" s="20">
        <f>42833399.43/1000</f>
        <v>42833.399429999998</v>
      </c>
      <c r="E849" s="20"/>
    </row>
    <row r="850" spans="1:5">
      <c r="A850" s="24">
        <v>21</v>
      </c>
      <c r="B850" s="18" t="s">
        <v>1411</v>
      </c>
      <c r="C850" s="21">
        <v>2906202210302</v>
      </c>
      <c r="D850" s="20">
        <f>42777504.93/1000</f>
        <v>42777.504930000003</v>
      </c>
      <c r="E850" s="20"/>
    </row>
    <row r="851" spans="1:5">
      <c r="A851" s="24">
        <v>22</v>
      </c>
      <c r="B851" s="18" t="s">
        <v>729</v>
      </c>
      <c r="C851" s="21">
        <v>22506195700634</v>
      </c>
      <c r="D851" s="20">
        <f>39041022/1000</f>
        <v>39041.021999999997</v>
      </c>
      <c r="E851" s="20"/>
    </row>
    <row r="852" spans="1:5">
      <c r="A852" s="24">
        <v>23</v>
      </c>
      <c r="B852" s="18" t="s">
        <v>690</v>
      </c>
      <c r="C852" s="21">
        <v>3101200610219</v>
      </c>
      <c r="D852" s="20">
        <f>37222758.45/1000</f>
        <v>37222.758450000001</v>
      </c>
      <c r="E852" s="20"/>
    </row>
    <row r="853" spans="1:5">
      <c r="A853" s="24">
        <v>24</v>
      </c>
      <c r="B853" s="18" t="s">
        <v>3029</v>
      </c>
      <c r="C853" s="21">
        <v>1507201310216</v>
      </c>
      <c r="D853" s="20">
        <f>31253517.46/1000</f>
        <v>31253.517459999999</v>
      </c>
      <c r="E853" s="20"/>
    </row>
    <row r="854" spans="1:5">
      <c r="A854" s="24">
        <v>25</v>
      </c>
      <c r="B854" s="18" t="s">
        <v>3034</v>
      </c>
      <c r="C854" s="21">
        <v>1104201710036</v>
      </c>
      <c r="D854" s="20">
        <f>30770666/1000</f>
        <v>30770.666000000001</v>
      </c>
      <c r="E854" s="20"/>
    </row>
    <row r="855" spans="1:5">
      <c r="A855" s="24">
        <v>26</v>
      </c>
      <c r="B855" s="18" t="s">
        <v>3035</v>
      </c>
      <c r="C855" s="21">
        <v>406201510091</v>
      </c>
      <c r="D855" s="20">
        <f>29653156.66/1000</f>
        <v>29653.156660000001</v>
      </c>
      <c r="E855" s="20">
        <v>7239.2</v>
      </c>
    </row>
    <row r="856" spans="1:5">
      <c r="A856" s="24">
        <v>27</v>
      </c>
      <c r="B856" s="18" t="s">
        <v>843</v>
      </c>
      <c r="C856" s="21">
        <v>403199310050</v>
      </c>
      <c r="D856" s="20">
        <f>28702053.18/1000</f>
        <v>28702.053179999999</v>
      </c>
      <c r="E856" s="20"/>
    </row>
    <row r="857" spans="1:5">
      <c r="A857" s="24">
        <v>28</v>
      </c>
      <c r="B857" s="18" t="s">
        <v>3030</v>
      </c>
      <c r="C857" s="21">
        <v>2102200110264</v>
      </c>
      <c r="D857" s="20">
        <f>28840921.01/1000</f>
        <v>28840.921010000002</v>
      </c>
      <c r="E857" s="20"/>
    </row>
    <row r="858" spans="1:5">
      <c r="A858" s="24">
        <v>29</v>
      </c>
      <c r="B858" s="18" t="s">
        <v>903</v>
      </c>
      <c r="C858" s="21">
        <v>23006197110047</v>
      </c>
      <c r="D858" s="20">
        <f>28136706/1000</f>
        <v>28136.705999999998</v>
      </c>
      <c r="E858" s="20"/>
    </row>
    <row r="859" spans="1:5">
      <c r="A859" s="24">
        <v>30</v>
      </c>
      <c r="B859" s="18" t="s">
        <v>2428</v>
      </c>
      <c r="C859" s="21">
        <v>1403202210036</v>
      </c>
      <c r="D859" s="20">
        <f>28286673.08/1000</f>
        <v>28286.673079999997</v>
      </c>
      <c r="E859" s="20"/>
    </row>
    <row r="860" spans="1:5">
      <c r="A860" s="24">
        <v>31</v>
      </c>
      <c r="B860" s="18" t="s">
        <v>3036</v>
      </c>
      <c r="C860" s="21">
        <v>110199210156</v>
      </c>
      <c r="D860" s="20">
        <f>26124696.5/1000</f>
        <v>26124.696499999998</v>
      </c>
      <c r="E860" s="20">
        <v>33977.199999999997</v>
      </c>
    </row>
    <row r="861" spans="1:5">
      <c r="A861" s="24">
        <v>32</v>
      </c>
      <c r="B861" s="18" t="s">
        <v>846</v>
      </c>
      <c r="C861" s="21">
        <v>2101201110091</v>
      </c>
      <c r="D861" s="20">
        <f>24777340.06/1000</f>
        <v>24777.340059999999</v>
      </c>
      <c r="E861" s="20"/>
    </row>
    <row r="862" spans="1:5">
      <c r="A862" s="24">
        <v>33</v>
      </c>
      <c r="B862" s="18" t="s">
        <v>728</v>
      </c>
      <c r="C862" s="21">
        <v>20208197100512</v>
      </c>
      <c r="D862" s="20">
        <f>24575000/1000</f>
        <v>24575</v>
      </c>
      <c r="E862" s="20"/>
    </row>
    <row r="863" spans="1:5">
      <c r="A863" s="24">
        <v>34</v>
      </c>
      <c r="B863" s="18" t="s">
        <v>757</v>
      </c>
      <c r="C863" s="21">
        <v>2210201510172</v>
      </c>
      <c r="D863" s="20">
        <f>24009187.4/1000</f>
        <v>24009.187399999999</v>
      </c>
      <c r="E863" s="20"/>
    </row>
    <row r="864" spans="1:5">
      <c r="A864" s="24">
        <v>35</v>
      </c>
      <c r="B864" s="18" t="s">
        <v>736</v>
      </c>
      <c r="C864" s="21">
        <v>1205202110324</v>
      </c>
      <c r="D864" s="20">
        <f>23104355.7/1000</f>
        <v>23104.3557</v>
      </c>
      <c r="E864" s="20"/>
    </row>
    <row r="865" spans="1:5">
      <c r="A865" s="24">
        <v>36</v>
      </c>
      <c r="B865" s="18" t="s">
        <v>745</v>
      </c>
      <c r="C865" s="21">
        <v>3010201910362</v>
      </c>
      <c r="D865" s="20">
        <f>23080852.83/1000</f>
        <v>23080.85283</v>
      </c>
      <c r="E865" s="20"/>
    </row>
    <row r="866" spans="1:5">
      <c r="A866" s="24">
        <v>37</v>
      </c>
      <c r="B866" s="18" t="s">
        <v>3040</v>
      </c>
      <c r="C866" s="21">
        <v>2612200510099</v>
      </c>
      <c r="D866" s="20">
        <f>21829626.56/1000</f>
        <v>21829.626559999997</v>
      </c>
      <c r="E866" s="20"/>
    </row>
    <row r="867" spans="1:5">
      <c r="A867" s="24">
        <v>38</v>
      </c>
      <c r="B867" s="18" t="s">
        <v>835</v>
      </c>
      <c r="C867" s="21">
        <v>1909201910345</v>
      </c>
      <c r="D867" s="20">
        <f>21482149.52/1000</f>
        <v>21482.149519999999</v>
      </c>
      <c r="E867" s="20"/>
    </row>
    <row r="868" spans="1:5">
      <c r="A868" s="24">
        <v>39</v>
      </c>
      <c r="B868" s="18" t="s">
        <v>3037</v>
      </c>
      <c r="C868" s="21">
        <v>809202210427</v>
      </c>
      <c r="D868" s="20">
        <f>21410124.39/1000</f>
        <v>21410.124390000001</v>
      </c>
      <c r="E868" s="20"/>
    </row>
    <row r="869" spans="1:5">
      <c r="A869" s="24">
        <v>40</v>
      </c>
      <c r="B869" s="18" t="s">
        <v>3038</v>
      </c>
      <c r="C869" s="21">
        <v>709200010102</v>
      </c>
      <c r="D869" s="20">
        <f>21137700.63/1000</f>
        <v>21137.700629999999</v>
      </c>
      <c r="E869" s="20"/>
    </row>
    <row r="870" spans="1:5">
      <c r="A870" s="24">
        <v>41</v>
      </c>
      <c r="B870" s="18" t="s">
        <v>763</v>
      </c>
      <c r="C870" s="21">
        <v>1803201310244</v>
      </c>
      <c r="D870" s="20">
        <f>20467660.79/1000</f>
        <v>20467.660789999998</v>
      </c>
      <c r="E870" s="20"/>
    </row>
    <row r="871" spans="1:5">
      <c r="A871" s="24">
        <v>42</v>
      </c>
      <c r="B871" s="18" t="s">
        <v>3039</v>
      </c>
      <c r="C871" s="21">
        <v>2711196110018</v>
      </c>
      <c r="D871" s="20">
        <f>20483717.27/1000</f>
        <v>20483.717270000001</v>
      </c>
      <c r="E871" s="20"/>
    </row>
    <row r="872" spans="1:5">
      <c r="A872" s="24">
        <v>43</v>
      </c>
      <c r="B872" s="18" t="s">
        <v>885</v>
      </c>
      <c r="C872" s="21">
        <v>1211201910152</v>
      </c>
      <c r="D872" s="20">
        <f>19364241.48/1000</f>
        <v>19364.241480000001</v>
      </c>
      <c r="E872" s="20"/>
    </row>
    <row r="873" spans="1:5">
      <c r="A873" s="24">
        <v>44</v>
      </c>
      <c r="B873" s="18" t="s">
        <v>3002</v>
      </c>
      <c r="C873" s="21">
        <v>1402202010165</v>
      </c>
      <c r="D873" s="20">
        <f>32753183.09/1000</f>
        <v>32753.183089999999</v>
      </c>
      <c r="E873" s="20"/>
    </row>
    <row r="874" spans="1:5">
      <c r="A874" s="24">
        <v>45</v>
      </c>
      <c r="B874" s="18" t="s">
        <v>750</v>
      </c>
      <c r="C874" s="21">
        <v>806199410053</v>
      </c>
      <c r="D874" s="20">
        <f>18599207.07/1000</f>
        <v>18599.20707</v>
      </c>
      <c r="E874" s="20"/>
    </row>
    <row r="875" spans="1:5">
      <c r="A875" s="24">
        <v>46</v>
      </c>
      <c r="B875" s="18" t="s">
        <v>781</v>
      </c>
      <c r="C875" s="21">
        <v>21810198200056</v>
      </c>
      <c r="D875" s="20">
        <f>17525510/1000</f>
        <v>17525.509999999998</v>
      </c>
      <c r="E875" s="20"/>
    </row>
    <row r="876" spans="1:5">
      <c r="A876" s="24">
        <v>47</v>
      </c>
      <c r="B876" s="18" t="s">
        <v>1710</v>
      </c>
      <c r="C876" s="21">
        <v>1705201810200</v>
      </c>
      <c r="D876" s="20">
        <f>17513243.69/1000</f>
        <v>17513.243690000003</v>
      </c>
      <c r="E876" s="20"/>
    </row>
    <row r="877" spans="1:5">
      <c r="A877" s="24">
        <v>48</v>
      </c>
      <c r="B877" s="18" t="s">
        <v>3041</v>
      </c>
      <c r="C877" s="21">
        <v>3006200810154</v>
      </c>
      <c r="D877" s="20">
        <f>16665798.47/1000</f>
        <v>16665.798470000002</v>
      </c>
      <c r="E877" s="20"/>
    </row>
    <row r="878" spans="1:5">
      <c r="A878" s="24">
        <v>49</v>
      </c>
      <c r="B878" s="18" t="s">
        <v>747</v>
      </c>
      <c r="C878" s="21">
        <v>1912201810349</v>
      </c>
      <c r="D878" s="20">
        <f>16360076/1000</f>
        <v>16360.075999999999</v>
      </c>
      <c r="E878" s="20"/>
    </row>
    <row r="879" spans="1:5">
      <c r="A879" s="24">
        <v>50</v>
      </c>
      <c r="B879" s="18" t="s">
        <v>932</v>
      </c>
      <c r="C879" s="21">
        <v>2803201110150</v>
      </c>
      <c r="D879" s="20">
        <f>14849017.87/1000</f>
        <v>14849.01787</v>
      </c>
      <c r="E879" s="20">
        <v>2415</v>
      </c>
    </row>
    <row r="880" spans="1:5">
      <c r="A880" s="24">
        <v>51</v>
      </c>
      <c r="B880" s="18" t="s">
        <v>848</v>
      </c>
      <c r="C880" s="21">
        <v>2007201810215</v>
      </c>
      <c r="D880" s="20">
        <f>14782590/1000</f>
        <v>14782.59</v>
      </c>
      <c r="E880" s="20"/>
    </row>
    <row r="881" spans="1:5">
      <c r="A881" s="24">
        <v>52</v>
      </c>
      <c r="B881" s="18" t="s">
        <v>743</v>
      </c>
      <c r="C881" s="21">
        <v>502201410098</v>
      </c>
      <c r="D881" s="20">
        <f>15022617.36/1000</f>
        <v>15022.61736</v>
      </c>
      <c r="E881" s="20"/>
    </row>
    <row r="882" spans="1:5">
      <c r="A882" s="24">
        <v>53</v>
      </c>
      <c r="B882" s="18" t="s">
        <v>1711</v>
      </c>
      <c r="C882" s="21">
        <v>2411202210150</v>
      </c>
      <c r="D882" s="20">
        <f>14542488.84/1000</f>
        <v>14542.48884</v>
      </c>
      <c r="E882" s="20"/>
    </row>
    <row r="883" spans="1:5">
      <c r="A883" s="24">
        <v>54</v>
      </c>
      <c r="B883" s="18" t="s">
        <v>849</v>
      </c>
      <c r="C883" s="21">
        <v>1706201610191</v>
      </c>
      <c r="D883" s="20">
        <f>13898878/1000</f>
        <v>13898.878000000001</v>
      </c>
      <c r="E883" s="20"/>
    </row>
    <row r="884" spans="1:5">
      <c r="A884" s="24">
        <v>55</v>
      </c>
      <c r="B884" s="18" t="s">
        <v>866</v>
      </c>
      <c r="C884" s="21">
        <v>204199810124</v>
      </c>
      <c r="D884" s="20">
        <f>13827305.24/1000</f>
        <v>13827.30524</v>
      </c>
      <c r="E884" s="20"/>
    </row>
    <row r="885" spans="1:5">
      <c r="A885" s="24">
        <v>56</v>
      </c>
      <c r="B885" s="18" t="s">
        <v>1413</v>
      </c>
      <c r="C885" s="21">
        <v>1007201510117</v>
      </c>
      <c r="D885" s="20">
        <f>9637555.27/1000</f>
        <v>9637.5552699999989</v>
      </c>
      <c r="E885" s="20"/>
    </row>
    <row r="886" spans="1:5">
      <c r="A886" s="24">
        <v>57</v>
      </c>
      <c r="B886" s="18" t="s">
        <v>737</v>
      </c>
      <c r="C886" s="21">
        <v>3004202110165</v>
      </c>
      <c r="D886" s="20">
        <f>11885355.94/1000</f>
        <v>11885.355939999999</v>
      </c>
      <c r="E886" s="20"/>
    </row>
    <row r="887" spans="1:5">
      <c r="A887" s="24">
        <v>58</v>
      </c>
      <c r="B887" s="18" t="s">
        <v>1954</v>
      </c>
      <c r="C887" s="21">
        <v>1204202310189</v>
      </c>
      <c r="D887" s="20">
        <f>8637094.78/1000</f>
        <v>8637.0947799999994</v>
      </c>
      <c r="E887" s="20"/>
    </row>
    <row r="888" spans="1:5">
      <c r="A888" s="24">
        <v>59</v>
      </c>
      <c r="B888" s="18" t="s">
        <v>3003</v>
      </c>
      <c r="C888" s="21">
        <v>2511201510119</v>
      </c>
      <c r="D888" s="20">
        <f>10554248.06/1000</f>
        <v>10554.24806</v>
      </c>
      <c r="E888" s="20"/>
    </row>
    <row r="889" spans="1:5">
      <c r="A889" s="24">
        <v>60</v>
      </c>
      <c r="B889" s="18" t="s">
        <v>837</v>
      </c>
      <c r="C889" s="21">
        <v>411201110209</v>
      </c>
      <c r="D889" s="20">
        <f>10401514/1000</f>
        <v>10401.513999999999</v>
      </c>
      <c r="E889" s="20"/>
    </row>
    <row r="890" spans="1:5">
      <c r="A890" s="24">
        <v>61</v>
      </c>
      <c r="B890" s="18" t="s">
        <v>892</v>
      </c>
      <c r="C890" s="21">
        <v>22010198000821</v>
      </c>
      <c r="D890" s="20">
        <f>10267838/1000</f>
        <v>10267.838</v>
      </c>
      <c r="E890" s="20"/>
    </row>
    <row r="891" spans="1:5">
      <c r="A891" s="24">
        <v>62</v>
      </c>
      <c r="B891" s="18" t="s">
        <v>2409</v>
      </c>
      <c r="C891" s="21">
        <v>2407202310050</v>
      </c>
      <c r="D891" s="20">
        <f>10042257.45/1000</f>
        <v>10042.257449999999</v>
      </c>
      <c r="E891" s="20"/>
    </row>
    <row r="892" spans="1:5">
      <c r="A892" s="24">
        <v>63</v>
      </c>
      <c r="B892" s="18" t="s">
        <v>890</v>
      </c>
      <c r="C892" s="21">
        <v>1603202010226</v>
      </c>
      <c r="D892" s="20">
        <f>9738519.6/1000</f>
        <v>9738.5195999999996</v>
      </c>
      <c r="E892" s="20"/>
    </row>
    <row r="893" spans="1:5">
      <c r="A893" s="24">
        <v>64</v>
      </c>
      <c r="B893" s="18" t="s">
        <v>931</v>
      </c>
      <c r="C893" s="21">
        <v>1903200910661</v>
      </c>
      <c r="D893" s="20">
        <f>9726614/1000</f>
        <v>9726.6139999999996</v>
      </c>
      <c r="E893" s="20"/>
    </row>
    <row r="894" spans="1:5">
      <c r="A894" s="24">
        <v>65</v>
      </c>
      <c r="B894" s="18" t="s">
        <v>881</v>
      </c>
      <c r="C894" s="21">
        <v>2711201310118</v>
      </c>
      <c r="D894" s="20">
        <f>9634972.03/1000</f>
        <v>9634.972029999999</v>
      </c>
      <c r="E894" s="20"/>
    </row>
    <row r="895" spans="1:5">
      <c r="A895" s="24">
        <v>66</v>
      </c>
      <c r="B895" s="18" t="s">
        <v>3004</v>
      </c>
      <c r="C895" s="21">
        <v>110202010185</v>
      </c>
      <c r="D895" s="20">
        <f>15709387.51/1000</f>
        <v>15709.38751</v>
      </c>
      <c r="E895" s="20"/>
    </row>
    <row r="896" spans="1:5">
      <c r="A896" s="24">
        <v>67</v>
      </c>
      <c r="B896" s="18" t="s">
        <v>3031</v>
      </c>
      <c r="C896" s="21">
        <v>1005201210065</v>
      </c>
      <c r="D896" s="20">
        <f>8546623.06/1000</f>
        <v>8546.6230599999999</v>
      </c>
      <c r="E896" s="20"/>
    </row>
    <row r="897" spans="1:5">
      <c r="A897" s="24">
        <v>68</v>
      </c>
      <c r="B897" s="18" t="s">
        <v>830</v>
      </c>
      <c r="C897" s="21">
        <v>2001201010088</v>
      </c>
      <c r="D897" s="20">
        <f>8494595/1000</f>
        <v>8494.5949999999993</v>
      </c>
      <c r="E897" s="20"/>
    </row>
    <row r="898" spans="1:5">
      <c r="A898" s="24">
        <v>69</v>
      </c>
      <c r="B898" s="18" t="s">
        <v>726</v>
      </c>
      <c r="C898" s="21">
        <v>20406199402049</v>
      </c>
      <c r="D898" s="20">
        <f>8110463.84/1000</f>
        <v>8110.4638399999994</v>
      </c>
      <c r="E898" s="20"/>
    </row>
    <row r="899" spans="1:5">
      <c r="A899" s="24">
        <v>70</v>
      </c>
      <c r="B899" s="18" t="s">
        <v>3032</v>
      </c>
      <c r="C899" s="21">
        <v>1303201510275</v>
      </c>
      <c r="D899" s="20">
        <f>7872400/1000</f>
        <v>7872.4</v>
      </c>
      <c r="E899" s="20"/>
    </row>
    <row r="900" spans="1:5">
      <c r="A900" s="24">
        <v>71</v>
      </c>
      <c r="B900" s="18" t="s">
        <v>749</v>
      </c>
      <c r="C900" s="21">
        <v>1608202110101</v>
      </c>
      <c r="D900" s="20">
        <f>7872456.2/1000</f>
        <v>7872.4562000000005</v>
      </c>
      <c r="E900" s="20"/>
    </row>
    <row r="901" spans="1:5">
      <c r="A901" s="24">
        <v>72</v>
      </c>
      <c r="B901" s="18" t="s">
        <v>844</v>
      </c>
      <c r="C901" s="21">
        <v>807201110272</v>
      </c>
      <c r="D901" s="20">
        <f>7709010/1000</f>
        <v>7709.01</v>
      </c>
      <c r="E901" s="20"/>
    </row>
    <row r="902" spans="1:5">
      <c r="A902" s="24">
        <v>73</v>
      </c>
      <c r="B902" s="18" t="s">
        <v>901</v>
      </c>
      <c r="C902" s="21">
        <v>22104198401719</v>
      </c>
      <c r="D902" s="20">
        <f>7622039.65/1000</f>
        <v>7622.0396500000006</v>
      </c>
      <c r="E902" s="20"/>
    </row>
    <row r="903" spans="1:5">
      <c r="A903" s="24">
        <v>74</v>
      </c>
      <c r="B903" s="18" t="s">
        <v>933</v>
      </c>
      <c r="C903" s="21">
        <v>207201010189</v>
      </c>
      <c r="D903" s="20">
        <f>7336610/1000</f>
        <v>7336.61</v>
      </c>
      <c r="E903" s="20"/>
    </row>
    <row r="904" spans="1:5">
      <c r="A904" s="24">
        <v>75</v>
      </c>
      <c r="B904" s="18" t="s">
        <v>1712</v>
      </c>
      <c r="C904" s="21">
        <v>309201010089</v>
      </c>
      <c r="D904" s="20">
        <f>7275933.72/1000</f>
        <v>7275.93372</v>
      </c>
      <c r="E904" s="20"/>
    </row>
    <row r="905" spans="1:5">
      <c r="A905" s="24">
        <v>76</v>
      </c>
      <c r="B905" s="18" t="s">
        <v>1724</v>
      </c>
      <c r="C905" s="21">
        <v>1306201210164</v>
      </c>
      <c r="D905" s="20">
        <f>7239434/1000</f>
        <v>7239.4340000000002</v>
      </c>
      <c r="E905" s="20"/>
    </row>
    <row r="906" spans="1:5">
      <c r="A906" s="24">
        <v>77</v>
      </c>
      <c r="B906" s="18" t="s">
        <v>1956</v>
      </c>
      <c r="C906" s="21">
        <v>1509202210270</v>
      </c>
      <c r="D906" s="20">
        <f>7024260.36/1000</f>
        <v>7024.2603600000002</v>
      </c>
      <c r="E906" s="20"/>
    </row>
    <row r="907" spans="1:5">
      <c r="A907" s="24">
        <v>78</v>
      </c>
      <c r="B907" s="18" t="s">
        <v>840</v>
      </c>
      <c r="C907" s="21">
        <v>2011201510226</v>
      </c>
      <c r="D907" s="20">
        <f>7002175.56/1000</f>
        <v>7002.1755599999997</v>
      </c>
      <c r="E907" s="20"/>
    </row>
    <row r="908" spans="1:5">
      <c r="A908" s="24">
        <v>79</v>
      </c>
      <c r="B908" s="18" t="s">
        <v>934</v>
      </c>
      <c r="C908" s="21">
        <v>609201110120</v>
      </c>
      <c r="D908" s="20">
        <f>6910430.39/1000</f>
        <v>6910.4303899999995</v>
      </c>
      <c r="E908" s="20"/>
    </row>
    <row r="909" spans="1:5">
      <c r="A909" s="24">
        <v>80</v>
      </c>
      <c r="B909" s="18" t="s">
        <v>852</v>
      </c>
      <c r="C909" s="21">
        <v>2712202110078</v>
      </c>
      <c r="D909" s="20">
        <f>6775032.46/1000</f>
        <v>6775.0324600000004</v>
      </c>
      <c r="E909" s="20"/>
    </row>
    <row r="910" spans="1:5">
      <c r="A910" s="24">
        <v>81</v>
      </c>
      <c r="B910" s="18" t="s">
        <v>857</v>
      </c>
      <c r="C910" s="21">
        <v>1612201510066</v>
      </c>
      <c r="D910" s="20">
        <f>6629602.07/1000</f>
        <v>6629.6020699999999</v>
      </c>
      <c r="E910" s="20"/>
    </row>
    <row r="911" spans="1:5">
      <c r="A911" s="24">
        <v>82</v>
      </c>
      <c r="B911" s="18" t="s">
        <v>732</v>
      </c>
      <c r="C911" s="21">
        <v>22907197400022</v>
      </c>
      <c r="D911" s="20">
        <f>6543488.67/1000</f>
        <v>6543.4886699999997</v>
      </c>
      <c r="E911" s="20"/>
    </row>
    <row r="912" spans="1:5">
      <c r="A912" s="24">
        <v>83</v>
      </c>
      <c r="B912" s="18" t="s">
        <v>3042</v>
      </c>
      <c r="C912" s="21">
        <v>1612201010065</v>
      </c>
      <c r="D912" s="20">
        <f>6532702.42/1000</f>
        <v>6532.7024199999996</v>
      </c>
      <c r="E912" s="20"/>
    </row>
    <row r="913" spans="1:5">
      <c r="A913" s="24">
        <v>84</v>
      </c>
      <c r="B913" s="18" t="s">
        <v>831</v>
      </c>
      <c r="C913" s="21">
        <v>2202201610224</v>
      </c>
      <c r="D913" s="20">
        <f>6512647.06/1000</f>
        <v>6512.6470599999993</v>
      </c>
      <c r="E913" s="20"/>
    </row>
    <row r="914" spans="1:5">
      <c r="A914" s="24">
        <v>85</v>
      </c>
      <c r="B914" s="18" t="s">
        <v>738</v>
      </c>
      <c r="C914" s="21">
        <v>2312201310200</v>
      </c>
      <c r="D914" s="20">
        <f>6473662.36/1000</f>
        <v>6473.6623600000003</v>
      </c>
      <c r="E914" s="20"/>
    </row>
    <row r="915" spans="1:5">
      <c r="A915" s="24">
        <v>86</v>
      </c>
      <c r="B915" s="18" t="s">
        <v>1412</v>
      </c>
      <c r="C915" s="21">
        <v>21611199001079</v>
      </c>
      <c r="D915" s="20">
        <f>6404946.1/1000</f>
        <v>6404.9460999999992</v>
      </c>
      <c r="E915" s="20"/>
    </row>
    <row r="916" spans="1:5">
      <c r="A916" s="24">
        <v>87</v>
      </c>
      <c r="B916" s="18" t="s">
        <v>705</v>
      </c>
      <c r="C916" s="21">
        <v>709200910073</v>
      </c>
      <c r="D916" s="20">
        <f>6450808.94/1000</f>
        <v>6450.8089400000008</v>
      </c>
      <c r="E916" s="20"/>
    </row>
    <row r="917" spans="1:5">
      <c r="A917" s="24">
        <v>88</v>
      </c>
      <c r="B917" s="18" t="s">
        <v>758</v>
      </c>
      <c r="C917" s="21">
        <v>709201510037</v>
      </c>
      <c r="D917" s="20">
        <f>6369972.27/1000</f>
        <v>6369.9722699999993</v>
      </c>
      <c r="E917" s="20"/>
    </row>
    <row r="918" spans="1:5">
      <c r="A918" s="24">
        <v>89</v>
      </c>
      <c r="B918" s="18" t="s">
        <v>821</v>
      </c>
      <c r="C918" s="21">
        <v>306201310255</v>
      </c>
      <c r="D918" s="20">
        <f>6309315.69/1000</f>
        <v>6309.3156900000004</v>
      </c>
      <c r="E918" s="20"/>
    </row>
    <row r="919" spans="1:5">
      <c r="A919" s="24">
        <v>90</v>
      </c>
      <c r="B919" s="18" t="s">
        <v>873</v>
      </c>
      <c r="C919" s="21">
        <v>912201310170</v>
      </c>
      <c r="D919" s="20">
        <f>6308952.37/1000</f>
        <v>6308.95237</v>
      </c>
      <c r="E919" s="20"/>
    </row>
    <row r="920" spans="1:5">
      <c r="A920" s="24">
        <v>91</v>
      </c>
      <c r="B920" s="18" t="s">
        <v>779</v>
      </c>
      <c r="C920" s="21">
        <v>1504200910270</v>
      </c>
      <c r="D920" s="20">
        <f>6108312.48/1000</f>
        <v>6108.3124800000005</v>
      </c>
      <c r="E920" s="20"/>
    </row>
    <row r="921" spans="1:5">
      <c r="A921" s="24">
        <v>92</v>
      </c>
      <c r="B921" s="18" t="s">
        <v>841</v>
      </c>
      <c r="C921" s="21">
        <v>2612201410352</v>
      </c>
      <c r="D921" s="20">
        <f>5456743.65/1000</f>
        <v>5456.7436500000003</v>
      </c>
      <c r="E921" s="20"/>
    </row>
    <row r="922" spans="1:5">
      <c r="A922" s="24">
        <v>93</v>
      </c>
      <c r="B922" s="18" t="s">
        <v>865</v>
      </c>
      <c r="C922" s="21">
        <v>604201010084</v>
      </c>
      <c r="D922" s="20">
        <f>5423235.3/1000</f>
        <v>5423.2352999999994</v>
      </c>
      <c r="E922" s="20"/>
    </row>
    <row r="923" spans="1:5">
      <c r="A923" s="24">
        <v>94</v>
      </c>
      <c r="B923" s="18" t="s">
        <v>1955</v>
      </c>
      <c r="C923" s="21">
        <v>1804202310116</v>
      </c>
      <c r="D923" s="20">
        <f>3030255.89/1000</f>
        <v>3030.2558899999999</v>
      </c>
      <c r="E923" s="20"/>
    </row>
    <row r="924" spans="1:5">
      <c r="A924" s="24">
        <v>95</v>
      </c>
      <c r="B924" s="18" t="s">
        <v>845</v>
      </c>
      <c r="C924" s="21">
        <v>1305201010077</v>
      </c>
      <c r="D924" s="20">
        <f>5359122.05/1000</f>
        <v>5359.1220499999999</v>
      </c>
      <c r="E924" s="20"/>
    </row>
    <row r="925" spans="1:5">
      <c r="A925" s="24">
        <v>96</v>
      </c>
      <c r="B925" s="18" t="s">
        <v>3043</v>
      </c>
      <c r="C925" s="21">
        <v>1006200410097</v>
      </c>
      <c r="D925" s="20">
        <f>5209391.03/1000</f>
        <v>5209.3910300000007</v>
      </c>
      <c r="E925" s="20"/>
    </row>
    <row r="926" spans="1:5">
      <c r="A926" s="24">
        <v>97</v>
      </c>
      <c r="B926" s="18" t="s">
        <v>827</v>
      </c>
      <c r="C926" s="21">
        <v>2702200810296</v>
      </c>
      <c r="D926" s="20">
        <f>5115975/1000</f>
        <v>5115.9750000000004</v>
      </c>
      <c r="E926" s="20"/>
    </row>
    <row r="927" spans="1:5">
      <c r="A927" s="24">
        <v>98</v>
      </c>
      <c r="B927" s="18" t="s">
        <v>1106</v>
      </c>
      <c r="C927" s="21">
        <v>2006201610270</v>
      </c>
      <c r="D927" s="20">
        <f>5053383.2/1000</f>
        <v>5053.3832000000002</v>
      </c>
      <c r="E927" s="20"/>
    </row>
    <row r="928" spans="1:5">
      <c r="A928" s="24">
        <v>99</v>
      </c>
      <c r="B928" s="18" t="s">
        <v>889</v>
      </c>
      <c r="C928" s="21">
        <v>1904201310137</v>
      </c>
      <c r="D928" s="20">
        <f>4957384.41/1000</f>
        <v>4957.3844100000006</v>
      </c>
      <c r="E928" s="20"/>
    </row>
    <row r="929" spans="1:5">
      <c r="A929" s="24">
        <v>100</v>
      </c>
      <c r="B929" s="18" t="s">
        <v>859</v>
      </c>
      <c r="C929" s="21">
        <v>1408201910223</v>
      </c>
      <c r="D929" s="20">
        <f>4913499.2/1000</f>
        <v>4913.4992000000002</v>
      </c>
      <c r="E929" s="20"/>
    </row>
    <row r="930" spans="1:5">
      <c r="A930" s="24">
        <v>101</v>
      </c>
      <c r="B930" s="18" t="s">
        <v>854</v>
      </c>
      <c r="C930" s="21">
        <v>605201910273</v>
      </c>
      <c r="D930" s="20">
        <f>5010207.77/1000</f>
        <v>5010.20777</v>
      </c>
      <c r="E930" s="20"/>
    </row>
    <row r="931" spans="1:5">
      <c r="A931" s="24">
        <v>102</v>
      </c>
      <c r="B931" s="18" t="s">
        <v>894</v>
      </c>
      <c r="C931" s="21">
        <v>20602198201106</v>
      </c>
      <c r="D931" s="20">
        <f>4754653.93/1000</f>
        <v>4754.6539299999995</v>
      </c>
      <c r="E931" s="20"/>
    </row>
    <row r="932" spans="1:5">
      <c r="A932" s="24">
        <v>103</v>
      </c>
      <c r="B932" s="18" t="s">
        <v>716</v>
      </c>
      <c r="C932" s="21">
        <v>22211198500693</v>
      </c>
      <c r="D932" s="20">
        <f>4556048.4/1000</f>
        <v>4556.0484000000006</v>
      </c>
      <c r="E932" s="20"/>
    </row>
    <row r="933" spans="1:5">
      <c r="A933" s="24">
        <v>104</v>
      </c>
      <c r="B933" s="18" t="s">
        <v>3061</v>
      </c>
      <c r="C933" s="21">
        <v>403202210294</v>
      </c>
      <c r="D933" s="20">
        <f>4365093.49/1000</f>
        <v>4365.0934900000002</v>
      </c>
      <c r="E933" s="20"/>
    </row>
    <row r="934" spans="1:5">
      <c r="A934" s="24">
        <v>105</v>
      </c>
      <c r="B934" s="18" t="s">
        <v>1414</v>
      </c>
      <c r="C934" s="21">
        <v>1307201210180</v>
      </c>
      <c r="D934" s="20">
        <f>4157279.78/1000</f>
        <v>4157.2797799999998</v>
      </c>
      <c r="E934" s="20"/>
    </row>
    <row r="935" spans="1:5">
      <c r="A935" s="24">
        <v>106</v>
      </c>
      <c r="B935" s="18" t="s">
        <v>3062</v>
      </c>
      <c r="C935" s="21">
        <v>901199610088</v>
      </c>
      <c r="D935" s="20">
        <f>4144357.09/1000</f>
        <v>4144.3570899999995</v>
      </c>
      <c r="E935" s="20">
        <v>16549.400000000001</v>
      </c>
    </row>
    <row r="936" spans="1:5">
      <c r="A936" s="24">
        <v>107</v>
      </c>
      <c r="B936" s="18" t="s">
        <v>50</v>
      </c>
      <c r="C936" s="21">
        <v>1303201710141</v>
      </c>
      <c r="D936" s="20">
        <f>4085336.97/1000</f>
        <v>4085.3369700000003</v>
      </c>
      <c r="E936" s="20"/>
    </row>
    <row r="937" spans="1:5">
      <c r="A937" s="24">
        <v>108</v>
      </c>
      <c r="B937" s="18" t="s">
        <v>740</v>
      </c>
      <c r="C937" s="21">
        <v>2704202110099</v>
      </c>
      <c r="D937" s="20">
        <f>3953525.26/1000</f>
        <v>3953.5252599999999</v>
      </c>
      <c r="E937" s="20"/>
    </row>
    <row r="938" spans="1:5">
      <c r="A938" s="24">
        <v>109</v>
      </c>
      <c r="B938" s="18" t="s">
        <v>820</v>
      </c>
      <c r="C938" s="21">
        <v>2709201110114</v>
      </c>
      <c r="D938" s="20">
        <f>3951016.99/1000</f>
        <v>3951.0169900000001</v>
      </c>
      <c r="E938" s="20"/>
    </row>
    <row r="939" spans="1:5">
      <c r="A939" s="24">
        <v>110</v>
      </c>
      <c r="B939" s="18" t="s">
        <v>935</v>
      </c>
      <c r="C939" s="21">
        <v>2501201110064</v>
      </c>
      <c r="D939" s="20">
        <f>3933572.39/1000</f>
        <v>3933.5723900000003</v>
      </c>
      <c r="E939" s="20"/>
    </row>
    <row r="940" spans="1:5">
      <c r="A940" s="24">
        <v>111</v>
      </c>
      <c r="B940" s="18" t="s">
        <v>842</v>
      </c>
      <c r="C940" s="21">
        <v>1305201610196</v>
      </c>
      <c r="D940" s="20">
        <f>3917285.4/1000</f>
        <v>3917.2853999999998</v>
      </c>
      <c r="E940" s="20"/>
    </row>
    <row r="941" spans="1:5">
      <c r="A941" s="24">
        <v>112</v>
      </c>
      <c r="B941" s="18" t="s">
        <v>3044</v>
      </c>
      <c r="C941" s="21">
        <v>1602200510126</v>
      </c>
      <c r="D941" s="20">
        <f>3852422/1000</f>
        <v>3852.422</v>
      </c>
      <c r="E941" s="20"/>
    </row>
    <row r="942" spans="1:5">
      <c r="A942" s="24">
        <v>113</v>
      </c>
      <c r="B942" s="18" t="s">
        <v>3063</v>
      </c>
      <c r="C942" s="21">
        <v>2303200710263</v>
      </c>
      <c r="D942" s="20">
        <f>3629727.8/1000</f>
        <v>3629.7277999999997</v>
      </c>
      <c r="E942" s="20"/>
    </row>
    <row r="943" spans="1:5">
      <c r="A943" s="24">
        <v>114</v>
      </c>
      <c r="B943" s="18" t="s">
        <v>3005</v>
      </c>
      <c r="C943" s="21">
        <v>1704201510194</v>
      </c>
      <c r="D943" s="20">
        <f>3608717.43/1000</f>
        <v>3608.7174300000001</v>
      </c>
      <c r="E943" s="20"/>
    </row>
    <row r="944" spans="1:5">
      <c r="A944" s="24">
        <v>115</v>
      </c>
      <c r="B944" s="18" t="s">
        <v>3064</v>
      </c>
      <c r="C944" s="21">
        <v>2212200610103</v>
      </c>
      <c r="D944" s="20">
        <f>3597742.63/1000</f>
        <v>3597.7426299999997</v>
      </c>
      <c r="E944" s="20">
        <v>519.20000000000005</v>
      </c>
    </row>
    <row r="945" spans="1:5">
      <c r="A945" s="24">
        <v>116</v>
      </c>
      <c r="B945" s="18" t="s">
        <v>1714</v>
      </c>
      <c r="C945" s="21">
        <v>1904202310099</v>
      </c>
      <c r="D945" s="20">
        <f>3590355.68/1000</f>
        <v>3590.3556800000001</v>
      </c>
      <c r="E945" s="20"/>
    </row>
    <row r="946" spans="1:5">
      <c r="A946" s="24">
        <v>117</v>
      </c>
      <c r="B946" s="18" t="s">
        <v>1418</v>
      </c>
      <c r="C946" s="21">
        <v>211202210148</v>
      </c>
      <c r="D946" s="20">
        <f>3503472.18/1000</f>
        <v>3503.4721800000002</v>
      </c>
      <c r="E946" s="20"/>
    </row>
    <row r="947" spans="1:5">
      <c r="A947" s="24">
        <v>118</v>
      </c>
      <c r="B947" s="18" t="s">
        <v>3045</v>
      </c>
      <c r="C947" s="21">
        <v>2101200910087</v>
      </c>
      <c r="D947" s="20">
        <f>3506087.5/1000</f>
        <v>3506.0875000000001</v>
      </c>
      <c r="E947" s="20"/>
    </row>
    <row r="948" spans="1:5">
      <c r="A948" s="24">
        <v>119</v>
      </c>
      <c r="B948" s="18" t="s">
        <v>839</v>
      </c>
      <c r="C948" s="21">
        <v>1204201210133</v>
      </c>
      <c r="D948" s="20">
        <f>3489674/1000</f>
        <v>3489.674</v>
      </c>
      <c r="E948" s="20"/>
    </row>
    <row r="949" spans="1:5">
      <c r="A949" s="24">
        <v>120</v>
      </c>
      <c r="B949" s="18" t="s">
        <v>755</v>
      </c>
      <c r="C949" s="21">
        <v>1504201410073</v>
      </c>
      <c r="D949" s="20">
        <f>3473532.24/1000</f>
        <v>3473.53224</v>
      </c>
      <c r="E949" s="20"/>
    </row>
    <row r="950" spans="1:5">
      <c r="A950" s="24">
        <v>121</v>
      </c>
      <c r="B950" s="18" t="s">
        <v>1416</v>
      </c>
      <c r="C950" s="21">
        <v>11908199201818</v>
      </c>
      <c r="D950" s="20">
        <f>3460085.33/1000</f>
        <v>3460.0853299999999</v>
      </c>
      <c r="E950" s="20"/>
    </row>
    <row r="951" spans="1:5">
      <c r="A951" s="24">
        <v>122</v>
      </c>
      <c r="B951" s="18" t="s">
        <v>3046</v>
      </c>
      <c r="C951" s="21">
        <v>1707200910147</v>
      </c>
      <c r="D951" s="20">
        <f>3369477.52/1000</f>
        <v>3369.4775199999999</v>
      </c>
      <c r="E951" s="20"/>
    </row>
    <row r="952" spans="1:5">
      <c r="A952" s="24">
        <v>123</v>
      </c>
      <c r="B952" s="18" t="s">
        <v>936</v>
      </c>
      <c r="C952" s="21">
        <v>2001201410323</v>
      </c>
      <c r="D952" s="20">
        <f>3347521.99/1000</f>
        <v>3347.5219900000002</v>
      </c>
      <c r="E952" s="20"/>
    </row>
    <row r="953" spans="1:5">
      <c r="A953" s="24">
        <v>124</v>
      </c>
      <c r="B953" s="18" t="s">
        <v>725</v>
      </c>
      <c r="C953" s="21">
        <v>21711199301736</v>
      </c>
      <c r="D953" s="20">
        <f>3430084.52/1000</f>
        <v>3430.0845199999999</v>
      </c>
      <c r="E953" s="20"/>
    </row>
    <row r="954" spans="1:5">
      <c r="A954" s="24">
        <v>125</v>
      </c>
      <c r="B954" s="18" t="s">
        <v>823</v>
      </c>
      <c r="C954" s="21">
        <v>2303201610290</v>
      </c>
      <c r="D954" s="20">
        <f>3287958/1000</f>
        <v>3287.9580000000001</v>
      </c>
      <c r="E954" s="20"/>
    </row>
    <row r="955" spans="1:5">
      <c r="A955" s="24">
        <v>126</v>
      </c>
      <c r="B955" s="18" t="s">
        <v>937</v>
      </c>
      <c r="C955" s="21">
        <v>3001200810047</v>
      </c>
      <c r="D955" s="20">
        <f>3209059.36/1000</f>
        <v>3209.0593599999997</v>
      </c>
      <c r="E955" s="20"/>
    </row>
    <row r="956" spans="1:5">
      <c r="A956" s="24">
        <v>127</v>
      </c>
      <c r="B956" s="18" t="s">
        <v>1415</v>
      </c>
      <c r="C956" s="21">
        <v>20701198201217</v>
      </c>
      <c r="D956" s="20">
        <f>3197000/1000</f>
        <v>3197</v>
      </c>
      <c r="E956" s="20"/>
    </row>
    <row r="957" spans="1:5">
      <c r="A957" s="24">
        <v>128</v>
      </c>
      <c r="B957" s="18" t="s">
        <v>822</v>
      </c>
      <c r="C957" s="21">
        <v>607202210272</v>
      </c>
      <c r="D957" s="20">
        <f>3173812.95/1000</f>
        <v>3173.81295</v>
      </c>
      <c r="E957" s="20"/>
    </row>
    <row r="958" spans="1:5">
      <c r="A958" s="24">
        <v>129</v>
      </c>
      <c r="B958" s="18" t="s">
        <v>2410</v>
      </c>
      <c r="C958" s="21">
        <v>11609195600499</v>
      </c>
      <c r="D958" s="20">
        <f>3215407.78/1000</f>
        <v>3215.40778</v>
      </c>
      <c r="E958" s="20"/>
    </row>
    <row r="959" spans="1:5">
      <c r="A959" s="24">
        <v>130</v>
      </c>
      <c r="B959" s="18" t="s">
        <v>847</v>
      </c>
      <c r="C959" s="21">
        <v>1802202010242</v>
      </c>
      <c r="D959" s="20">
        <f>3129226.91/1000</f>
        <v>3129.2269100000003</v>
      </c>
      <c r="E959" s="20"/>
    </row>
    <row r="960" spans="1:5">
      <c r="A960" s="24">
        <v>131</v>
      </c>
      <c r="B960" s="18" t="s">
        <v>1417</v>
      </c>
      <c r="C960" s="21">
        <v>20407194700037</v>
      </c>
      <c r="D960" s="20">
        <f>3080000/1000</f>
        <v>3080</v>
      </c>
      <c r="E960" s="20"/>
    </row>
    <row r="961" spans="1:5">
      <c r="A961" s="24">
        <v>132</v>
      </c>
      <c r="B961" s="18" t="s">
        <v>3047</v>
      </c>
      <c r="C961" s="21">
        <v>2305199710114</v>
      </c>
      <c r="D961" s="20">
        <f>3302225.52/1000</f>
        <v>3302.22552</v>
      </c>
      <c r="E961" s="20"/>
    </row>
    <row r="962" spans="1:5">
      <c r="A962" s="24">
        <v>133</v>
      </c>
      <c r="B962" s="18" t="s">
        <v>872</v>
      </c>
      <c r="C962" s="21">
        <v>209201510033</v>
      </c>
      <c r="D962" s="20">
        <f>3032371.6/1000</f>
        <v>3032.3715999999999</v>
      </c>
      <c r="E962" s="20"/>
    </row>
    <row r="963" spans="1:5">
      <c r="A963" s="24">
        <v>134</v>
      </c>
      <c r="B963" s="18" t="s">
        <v>895</v>
      </c>
      <c r="C963" s="21">
        <v>20904195700429</v>
      </c>
      <c r="D963" s="20">
        <f>2917728.07/1000</f>
        <v>2917.7280699999997</v>
      </c>
      <c r="E963" s="20"/>
    </row>
    <row r="964" spans="1:5">
      <c r="A964" s="24">
        <v>135</v>
      </c>
      <c r="B964" s="18" t="s">
        <v>3006</v>
      </c>
      <c r="C964" s="21">
        <v>809200910091</v>
      </c>
      <c r="D964" s="20">
        <f>2576811.35/1000</f>
        <v>2576.8113499999999</v>
      </c>
      <c r="E964" s="20"/>
    </row>
    <row r="965" spans="1:5">
      <c r="A965" s="24">
        <v>136</v>
      </c>
      <c r="B965" s="18" t="s">
        <v>744</v>
      </c>
      <c r="C965" s="21">
        <v>3112201910056</v>
      </c>
      <c r="D965" s="20">
        <f>2783071.92/1000</f>
        <v>2783.0719199999999</v>
      </c>
      <c r="E965" s="20"/>
    </row>
    <row r="966" spans="1:5">
      <c r="A966" s="24">
        <v>137</v>
      </c>
      <c r="B966" s="18" t="s">
        <v>3065</v>
      </c>
      <c r="C966" s="21">
        <v>1707200610084</v>
      </c>
      <c r="D966" s="20">
        <f>2767048.98/1000</f>
        <v>2767.04898</v>
      </c>
      <c r="E966" s="20"/>
    </row>
    <row r="967" spans="1:5">
      <c r="A967" s="24">
        <v>138</v>
      </c>
      <c r="B967" s="18" t="s">
        <v>3048</v>
      </c>
      <c r="C967" s="21">
        <v>1904200710158</v>
      </c>
      <c r="D967" s="20">
        <f>2777476.26/1000</f>
        <v>2777.4762599999999</v>
      </c>
      <c r="E967" s="20"/>
    </row>
    <row r="968" spans="1:5">
      <c r="A968" s="24">
        <v>139</v>
      </c>
      <c r="B968" s="18" t="s">
        <v>782</v>
      </c>
      <c r="C968" s="21">
        <v>1607201510269</v>
      </c>
      <c r="D968" s="20">
        <f>2738425.02/1000</f>
        <v>2738.4250200000001</v>
      </c>
      <c r="E968" s="20"/>
    </row>
    <row r="969" spans="1:5">
      <c r="A969" s="24">
        <v>140</v>
      </c>
      <c r="B969" s="18" t="s">
        <v>711</v>
      </c>
      <c r="C969" s="21">
        <v>20309199100866</v>
      </c>
      <c r="D969" s="20">
        <f>2694544.45/1000</f>
        <v>2694.5444500000003</v>
      </c>
      <c r="E969" s="20"/>
    </row>
    <row r="970" spans="1:5">
      <c r="A970" s="24">
        <v>141</v>
      </c>
      <c r="B970" s="18" t="s">
        <v>1957</v>
      </c>
      <c r="C970" s="21">
        <v>2210201910175</v>
      </c>
      <c r="D970" s="20">
        <f>2690461.08/1000</f>
        <v>2690.46108</v>
      </c>
      <c r="E970" s="20"/>
    </row>
    <row r="971" spans="1:5">
      <c r="A971" s="24">
        <v>142</v>
      </c>
      <c r="B971" s="18" t="s">
        <v>893</v>
      </c>
      <c r="C971" s="21">
        <v>22512199400116</v>
      </c>
      <c r="D971" s="20">
        <f>2648064/1000</f>
        <v>2648.0639999999999</v>
      </c>
      <c r="E971" s="20"/>
    </row>
    <row r="972" spans="1:5">
      <c r="A972" s="24">
        <v>143</v>
      </c>
      <c r="B972" s="18" t="s">
        <v>3066</v>
      </c>
      <c r="C972" s="21">
        <v>2401200710371</v>
      </c>
      <c r="D972" s="20">
        <f>2637681/1000</f>
        <v>2637.681</v>
      </c>
      <c r="E972" s="20"/>
    </row>
    <row r="973" spans="1:5">
      <c r="A973" s="24">
        <v>144</v>
      </c>
      <c r="B973" s="18" t="s">
        <v>710</v>
      </c>
      <c r="C973" s="21">
        <v>22511199501687</v>
      </c>
      <c r="D973" s="20">
        <f>2563200/1000</f>
        <v>2563.1999999999998</v>
      </c>
      <c r="E973" s="20"/>
    </row>
    <row r="974" spans="1:5">
      <c r="A974" s="24">
        <v>145</v>
      </c>
      <c r="B974" s="18" t="s">
        <v>855</v>
      </c>
      <c r="C974" s="21">
        <v>2801201410143</v>
      </c>
      <c r="D974" s="20">
        <f>2524245.9/1000</f>
        <v>2524.2458999999999</v>
      </c>
      <c r="E974" s="20"/>
    </row>
    <row r="975" spans="1:5">
      <c r="A975" s="24">
        <v>146</v>
      </c>
      <c r="B975" s="18" t="s">
        <v>899</v>
      </c>
      <c r="C975" s="21">
        <v>11509197400105</v>
      </c>
      <c r="D975" s="20">
        <f>2502145/1000</f>
        <v>2502.145</v>
      </c>
      <c r="E975" s="20"/>
    </row>
    <row r="976" spans="1:5">
      <c r="A976" s="24">
        <v>147</v>
      </c>
      <c r="B976" s="18" t="s">
        <v>3067</v>
      </c>
      <c r="C976" s="21">
        <v>2506201210093</v>
      </c>
      <c r="D976" s="20">
        <f>2908443.9/1000</f>
        <v>2908.4438999999998</v>
      </c>
      <c r="E976" s="20"/>
    </row>
    <row r="977" spans="1:5">
      <c r="A977" s="24">
        <v>148</v>
      </c>
      <c r="B977" s="18" t="s">
        <v>3007</v>
      </c>
      <c r="C977" s="21">
        <v>2806201810294</v>
      </c>
      <c r="D977" s="20">
        <f>2686660.08/1000</f>
        <v>2686.6600800000001</v>
      </c>
      <c r="E977" s="20"/>
    </row>
    <row r="978" spans="1:5">
      <c r="A978" s="24">
        <v>149</v>
      </c>
      <c r="B978" s="18" t="s">
        <v>887</v>
      </c>
      <c r="C978" s="21">
        <v>1809200910065</v>
      </c>
      <c r="D978" s="20">
        <f>2448024.89/1000</f>
        <v>2448.0248900000001</v>
      </c>
      <c r="E978" s="20"/>
    </row>
    <row r="979" spans="1:5">
      <c r="A979" s="24">
        <v>150</v>
      </c>
      <c r="B979" s="18" t="s">
        <v>1419</v>
      </c>
      <c r="C979" s="21">
        <v>906202210085</v>
      </c>
      <c r="D979" s="20">
        <f>2357327.01/1000</f>
        <v>2357.32701</v>
      </c>
      <c r="E979" s="20"/>
    </row>
    <row r="980" spans="1:5">
      <c r="A980" s="24">
        <v>151</v>
      </c>
      <c r="B980" s="18" t="s">
        <v>1420</v>
      </c>
      <c r="C980" s="21">
        <v>604202310086</v>
      </c>
      <c r="D980" s="20">
        <f>2323319.31/1000</f>
        <v>2323.3193099999999</v>
      </c>
      <c r="E980" s="20"/>
    </row>
    <row r="981" spans="1:5">
      <c r="A981" s="24">
        <v>152</v>
      </c>
      <c r="B981" s="18" t="s">
        <v>939</v>
      </c>
      <c r="C981" s="21">
        <v>2904201310256</v>
      </c>
      <c r="D981" s="20">
        <f>2317818.64/1000</f>
        <v>2317.81864</v>
      </c>
      <c r="E981" s="20"/>
    </row>
    <row r="982" spans="1:5">
      <c r="A982" s="24">
        <v>153</v>
      </c>
      <c r="B982" s="18" t="s">
        <v>851</v>
      </c>
      <c r="C982" s="21">
        <v>507201910254</v>
      </c>
      <c r="D982" s="20">
        <f>2298120.31/1000</f>
        <v>2298.1203100000002</v>
      </c>
      <c r="E982" s="20"/>
    </row>
    <row r="983" spans="1:5">
      <c r="A983" s="24">
        <v>154</v>
      </c>
      <c r="B983" s="18" t="s">
        <v>1424</v>
      </c>
      <c r="C983" s="21">
        <v>2211201910228</v>
      </c>
      <c r="D983" s="20">
        <f>2292907.18/1000</f>
        <v>2292.9071800000002</v>
      </c>
      <c r="E983" s="20"/>
    </row>
    <row r="984" spans="1:5">
      <c r="A984" s="24">
        <v>155</v>
      </c>
      <c r="B984" s="18" t="s">
        <v>3008</v>
      </c>
      <c r="C984" s="21">
        <v>20104199802056</v>
      </c>
      <c r="D984" s="20">
        <f>2282600/1000</f>
        <v>2282.6</v>
      </c>
      <c r="E984" s="20"/>
    </row>
    <row r="985" spans="1:5">
      <c r="A985" s="24">
        <v>156</v>
      </c>
      <c r="B985" s="18" t="s">
        <v>3009</v>
      </c>
      <c r="C985" s="21">
        <v>2909201110087</v>
      </c>
      <c r="D985" s="20">
        <f>2279465.29/1000</f>
        <v>2279.4652900000001</v>
      </c>
      <c r="E985" s="20"/>
    </row>
    <row r="986" spans="1:5">
      <c r="A986" s="24">
        <v>157</v>
      </c>
      <c r="B986" s="18" t="s">
        <v>1422</v>
      </c>
      <c r="C986" s="21">
        <v>1904202310121</v>
      </c>
      <c r="D986" s="20">
        <f>2236063.71/1000</f>
        <v>2236.0637099999999</v>
      </c>
      <c r="E986" s="20"/>
    </row>
    <row r="987" spans="1:5">
      <c r="A987" s="24">
        <v>158</v>
      </c>
      <c r="B987" s="18" t="s">
        <v>875</v>
      </c>
      <c r="C987" s="21">
        <v>1805202010068</v>
      </c>
      <c r="D987" s="20">
        <f>2187344.19/1000</f>
        <v>2187.3441899999998</v>
      </c>
      <c r="E987" s="20"/>
    </row>
    <row r="988" spans="1:5">
      <c r="A988" s="24">
        <v>159</v>
      </c>
      <c r="B988" s="18" t="s">
        <v>942</v>
      </c>
      <c r="C988" s="21">
        <v>202201810459</v>
      </c>
      <c r="D988" s="20">
        <f>2175559.83/1000</f>
        <v>2175.5598300000001</v>
      </c>
      <c r="E988" s="20"/>
    </row>
    <row r="989" spans="1:5">
      <c r="A989" s="24">
        <v>160</v>
      </c>
      <c r="B989" s="18" t="s">
        <v>832</v>
      </c>
      <c r="C989" s="21">
        <v>3011201110155</v>
      </c>
      <c r="D989" s="20">
        <f>2164563.79/1000</f>
        <v>2164.5637900000002</v>
      </c>
      <c r="E989" s="20"/>
    </row>
    <row r="990" spans="1:5">
      <c r="A990" s="24">
        <v>161</v>
      </c>
      <c r="B990" s="18" t="s">
        <v>900</v>
      </c>
      <c r="C990" s="21">
        <v>21310197810017</v>
      </c>
      <c r="D990" s="20">
        <f>2138850/1000</f>
        <v>2138.85</v>
      </c>
      <c r="E990" s="20"/>
    </row>
    <row r="991" spans="1:5">
      <c r="A991" s="24">
        <v>162</v>
      </c>
      <c r="B991" s="18" t="s">
        <v>1425</v>
      </c>
      <c r="C991" s="21">
        <v>2711201210117</v>
      </c>
      <c r="D991" s="20">
        <f>2157261.44/1000</f>
        <v>2157.2614399999998</v>
      </c>
      <c r="E991" s="20"/>
    </row>
    <row r="992" spans="1:5">
      <c r="A992" s="24">
        <v>163</v>
      </c>
      <c r="B992" s="18" t="s">
        <v>753</v>
      </c>
      <c r="C992" s="21">
        <v>1503201010048</v>
      </c>
      <c r="D992" s="20">
        <f>2089274.76/1000</f>
        <v>2089.2747599999998</v>
      </c>
      <c r="E992" s="20"/>
    </row>
    <row r="993" spans="1:5">
      <c r="A993" s="24">
        <v>164</v>
      </c>
      <c r="B993" s="18" t="s">
        <v>874</v>
      </c>
      <c r="C993" s="21">
        <v>1304201010021</v>
      </c>
      <c r="D993" s="20">
        <f>2042778.92/1000</f>
        <v>2042.77892</v>
      </c>
      <c r="E993" s="20"/>
    </row>
    <row r="994" spans="1:5">
      <c r="A994" s="24">
        <v>165</v>
      </c>
      <c r="B994" s="18" t="s">
        <v>938</v>
      </c>
      <c r="C994" s="21">
        <v>501201610061</v>
      </c>
      <c r="D994" s="20">
        <f>2023292.18/1000</f>
        <v>2023.2921799999999</v>
      </c>
      <c r="E994" s="20"/>
    </row>
    <row r="995" spans="1:5">
      <c r="A995" s="24">
        <v>166</v>
      </c>
      <c r="B995" s="18" t="s">
        <v>902</v>
      </c>
      <c r="C995" s="21">
        <v>11411199200598</v>
      </c>
      <c r="D995" s="20">
        <f>2069093.46/1000</f>
        <v>2069.0934600000001</v>
      </c>
      <c r="E995" s="20"/>
    </row>
    <row r="996" spans="1:5">
      <c r="A996" s="24">
        <v>167</v>
      </c>
      <c r="B996" s="18" t="s">
        <v>824</v>
      </c>
      <c r="C996" s="21">
        <v>2908201910279</v>
      </c>
      <c r="D996" s="20">
        <f>1986991.7/1000</f>
        <v>1986.9917</v>
      </c>
      <c r="E996" s="20"/>
    </row>
    <row r="997" spans="1:5">
      <c r="A997" s="24">
        <v>168</v>
      </c>
      <c r="B997" s="18" t="s">
        <v>3049</v>
      </c>
      <c r="C997" s="21">
        <v>2402200910201</v>
      </c>
      <c r="D997" s="20">
        <f>1974610/1000</f>
        <v>1974.61</v>
      </c>
      <c r="E997" s="20"/>
    </row>
    <row r="998" spans="1:5">
      <c r="A998" s="24">
        <v>169</v>
      </c>
      <c r="B998" s="18" t="s">
        <v>2414</v>
      </c>
      <c r="C998" s="21">
        <v>1004201410225</v>
      </c>
      <c r="D998" s="20">
        <f>1954304.37/1000</f>
        <v>1954.3043700000001</v>
      </c>
      <c r="E998" s="20"/>
    </row>
    <row r="999" spans="1:5">
      <c r="A999" s="24">
        <v>170</v>
      </c>
      <c r="B999" s="18" t="s">
        <v>2422</v>
      </c>
      <c r="C999" s="21">
        <v>1306201810171</v>
      </c>
      <c r="D999" s="20">
        <f>1953394.32/1000</f>
        <v>1953.3943200000001</v>
      </c>
      <c r="E999" s="20"/>
    </row>
    <row r="1000" spans="1:5">
      <c r="A1000" s="24">
        <v>171</v>
      </c>
      <c r="B1000" s="18" t="s">
        <v>2412</v>
      </c>
      <c r="C1000" s="21">
        <v>12402199201161</v>
      </c>
      <c r="D1000" s="20">
        <f>1915328.27/1000</f>
        <v>1915.32827</v>
      </c>
      <c r="E1000" s="20"/>
    </row>
    <row r="1001" spans="1:5">
      <c r="A1001" s="24">
        <v>172</v>
      </c>
      <c r="B1001" s="18" t="s">
        <v>3068</v>
      </c>
      <c r="C1001" s="21">
        <v>1906200710103</v>
      </c>
      <c r="D1001" s="20">
        <f>1903500.78/1000</f>
        <v>1903.5007800000001</v>
      </c>
      <c r="E1001" s="20"/>
    </row>
    <row r="1002" spans="1:5">
      <c r="A1002" s="24">
        <v>173</v>
      </c>
      <c r="B1002" s="18" t="s">
        <v>3069</v>
      </c>
      <c r="C1002" s="21">
        <v>1304200110089</v>
      </c>
      <c r="D1002" s="20">
        <f>1877529.27/1000</f>
        <v>1877.52927</v>
      </c>
      <c r="E1002" s="20"/>
    </row>
    <row r="1003" spans="1:5">
      <c r="A1003" s="24">
        <v>174</v>
      </c>
      <c r="B1003" s="18" t="s">
        <v>883</v>
      </c>
      <c r="C1003" s="21">
        <v>2004202210482</v>
      </c>
      <c r="D1003" s="20">
        <f>1845764.86/1000</f>
        <v>1845.76486</v>
      </c>
      <c r="E1003" s="20"/>
    </row>
    <row r="1004" spans="1:5">
      <c r="A1004" s="24">
        <v>175</v>
      </c>
      <c r="B1004" s="18" t="s">
        <v>2430</v>
      </c>
      <c r="C1004" s="21">
        <v>109201610054</v>
      </c>
      <c r="D1004" s="20">
        <f>1795583.41/1000</f>
        <v>1795.58341</v>
      </c>
      <c r="E1004" s="20"/>
    </row>
    <row r="1005" spans="1:5">
      <c r="A1005" s="24">
        <v>176</v>
      </c>
      <c r="B1005" s="18" t="s">
        <v>940</v>
      </c>
      <c r="C1005" s="21">
        <v>10201194200201</v>
      </c>
      <c r="D1005" s="20">
        <f>1802632.46/1000</f>
        <v>1802.63246</v>
      </c>
      <c r="E1005" s="20"/>
    </row>
    <row r="1006" spans="1:5">
      <c r="A1006" s="24">
        <v>177</v>
      </c>
      <c r="B1006" s="18" t="s">
        <v>3070</v>
      </c>
      <c r="C1006" s="21">
        <v>501201710120</v>
      </c>
      <c r="D1006" s="20">
        <f>1803512.87/1000</f>
        <v>1803.51287</v>
      </c>
      <c r="E1006" s="20"/>
    </row>
    <row r="1007" spans="1:5">
      <c r="A1007" s="24">
        <v>178</v>
      </c>
      <c r="B1007" s="18" t="s">
        <v>2413</v>
      </c>
      <c r="C1007" s="21">
        <v>12102197900999</v>
      </c>
      <c r="D1007" s="20">
        <f>652078.06/1000</f>
        <v>652.07806000000005</v>
      </c>
      <c r="E1007" s="20"/>
    </row>
    <row r="1008" spans="1:5">
      <c r="A1008" s="24">
        <v>179</v>
      </c>
      <c r="B1008" s="18" t="s">
        <v>733</v>
      </c>
      <c r="C1008" s="21">
        <v>22805198400381</v>
      </c>
      <c r="D1008" s="20">
        <f>1746000/1000</f>
        <v>1746</v>
      </c>
      <c r="E1008" s="20"/>
    </row>
    <row r="1009" spans="1:5">
      <c r="A1009" s="24">
        <v>180</v>
      </c>
      <c r="B1009" s="18" t="s">
        <v>719</v>
      </c>
      <c r="C1009" s="21">
        <v>21703198200065</v>
      </c>
      <c r="D1009" s="20">
        <f>1732336/1000</f>
        <v>1732.336</v>
      </c>
      <c r="E1009" s="20"/>
    </row>
    <row r="1010" spans="1:5">
      <c r="A1010" s="24">
        <v>181</v>
      </c>
      <c r="B1010" s="18" t="s">
        <v>1958</v>
      </c>
      <c r="C1010" s="21">
        <v>1506202310252</v>
      </c>
      <c r="D1010" s="20">
        <f>1712103.21/1000</f>
        <v>1712.10321</v>
      </c>
      <c r="E1010" s="20"/>
    </row>
    <row r="1011" spans="1:5">
      <c r="A1011" s="24">
        <v>182</v>
      </c>
      <c r="B1011" s="18" t="s">
        <v>863</v>
      </c>
      <c r="C1011" s="21">
        <v>801201510094</v>
      </c>
      <c r="D1011" s="20">
        <f>1724050.25/1000</f>
        <v>1724.05025</v>
      </c>
      <c r="E1011" s="20"/>
    </row>
    <row r="1012" spans="1:5">
      <c r="A1012" s="24">
        <v>183</v>
      </c>
      <c r="B1012" s="18" t="s">
        <v>898</v>
      </c>
      <c r="C1012" s="21">
        <v>21210196100688</v>
      </c>
      <c r="D1012" s="20">
        <f>1688417.89/1000</f>
        <v>1688.4178899999999</v>
      </c>
      <c r="E1012" s="20"/>
    </row>
    <row r="1013" spans="1:5">
      <c r="A1013" s="24">
        <v>184</v>
      </c>
      <c r="B1013" s="18" t="s">
        <v>3010</v>
      </c>
      <c r="C1013" s="21">
        <v>11511196200817</v>
      </c>
      <c r="D1013" s="20">
        <f>1661951.25/1000</f>
        <v>1661.9512500000001</v>
      </c>
      <c r="E1013" s="20"/>
    </row>
    <row r="1014" spans="1:5">
      <c r="A1014" s="24">
        <v>185</v>
      </c>
      <c r="B1014" s="18" t="s">
        <v>941</v>
      </c>
      <c r="C1014" s="21">
        <v>2812200410129</v>
      </c>
      <c r="D1014" s="20">
        <f>1650010.61/1000</f>
        <v>1650.01061</v>
      </c>
      <c r="E1014" s="20"/>
    </row>
    <row r="1015" spans="1:5">
      <c r="A1015" s="24">
        <v>186</v>
      </c>
      <c r="B1015" s="18" t="s">
        <v>1430</v>
      </c>
      <c r="C1015" s="21">
        <v>2409202110317</v>
      </c>
      <c r="D1015" s="20">
        <f>1644816.91/1000</f>
        <v>1644.81691</v>
      </c>
      <c r="E1015" s="20"/>
    </row>
    <row r="1016" spans="1:5">
      <c r="A1016" s="24">
        <v>187</v>
      </c>
      <c r="B1016" s="18" t="s">
        <v>1421</v>
      </c>
      <c r="C1016" s="21">
        <v>1207201710188</v>
      </c>
      <c r="D1016" s="20">
        <f>1566748.51/1000</f>
        <v>1566.7485099999999</v>
      </c>
      <c r="E1016" s="20"/>
    </row>
    <row r="1017" spans="1:5">
      <c r="A1017" s="24">
        <v>188</v>
      </c>
      <c r="B1017" s="18" t="s">
        <v>3071</v>
      </c>
      <c r="C1017" s="21">
        <v>806200710012</v>
      </c>
      <c r="D1017" s="20">
        <f>1566480.38/1000</f>
        <v>1566.48038</v>
      </c>
      <c r="E1017" s="20"/>
    </row>
    <row r="1018" spans="1:5">
      <c r="A1018" s="24">
        <v>189</v>
      </c>
      <c r="B1018" s="18" t="s">
        <v>734</v>
      </c>
      <c r="C1018" s="21">
        <v>10509195400878</v>
      </c>
      <c r="D1018" s="20">
        <f>1554703.28/1000</f>
        <v>1554.7032799999999</v>
      </c>
      <c r="E1018" s="20"/>
    </row>
    <row r="1019" spans="1:5">
      <c r="A1019" s="24">
        <v>190</v>
      </c>
      <c r="B1019" s="18" t="s">
        <v>1423</v>
      </c>
      <c r="C1019" s="21">
        <v>21809199101291</v>
      </c>
      <c r="D1019" s="20">
        <f>1551235.59/1000</f>
        <v>1551.23559</v>
      </c>
      <c r="E1019" s="20"/>
    </row>
    <row r="1020" spans="1:5">
      <c r="A1020" s="24">
        <v>191</v>
      </c>
      <c r="B1020" s="18" t="s">
        <v>833</v>
      </c>
      <c r="C1020" s="21">
        <v>2510199910084</v>
      </c>
      <c r="D1020" s="20">
        <f>1548777.77/1000</f>
        <v>1548.7777699999999</v>
      </c>
      <c r="E1020" s="20"/>
    </row>
    <row r="1021" spans="1:5">
      <c r="A1021" s="24">
        <v>192</v>
      </c>
      <c r="B1021" s="18" t="s">
        <v>739</v>
      </c>
      <c r="C1021" s="21">
        <v>2808201010094</v>
      </c>
      <c r="D1021" s="20">
        <f>1578174.62/1000</f>
        <v>1578.17462</v>
      </c>
      <c r="E1021" s="20">
        <v>732.8</v>
      </c>
    </row>
    <row r="1022" spans="1:5">
      <c r="A1022" s="24">
        <v>193</v>
      </c>
      <c r="B1022" s="18" t="s">
        <v>3072</v>
      </c>
      <c r="C1022" s="21">
        <v>1701200710105</v>
      </c>
      <c r="D1022" s="20">
        <f>1515003.17/1000</f>
        <v>1515.00317</v>
      </c>
      <c r="E1022" s="20">
        <v>836.6</v>
      </c>
    </row>
    <row r="1023" spans="1:5">
      <c r="A1023" s="24">
        <v>194</v>
      </c>
      <c r="B1023" s="18" t="s">
        <v>82</v>
      </c>
      <c r="C1023" s="21">
        <v>3101199610040</v>
      </c>
      <c r="D1023" s="20">
        <f>1499672.17/1000</f>
        <v>1499.6721699999998</v>
      </c>
      <c r="E1023" s="20"/>
    </row>
    <row r="1024" spans="1:5">
      <c r="A1024" s="24">
        <v>195</v>
      </c>
      <c r="B1024" s="18" t="s">
        <v>3073</v>
      </c>
      <c r="C1024" s="21">
        <v>2312200810067</v>
      </c>
      <c r="D1024" s="20">
        <f>1464239.41/1000</f>
        <v>1464.2394099999999</v>
      </c>
      <c r="E1024" s="20"/>
    </row>
    <row r="1025" spans="1:5">
      <c r="A1025" s="24">
        <v>196</v>
      </c>
      <c r="B1025" s="18" t="s">
        <v>756</v>
      </c>
      <c r="C1025" s="21">
        <v>3107201310145</v>
      </c>
      <c r="D1025" s="20">
        <f>1457543.54/1000</f>
        <v>1457.5435400000001</v>
      </c>
      <c r="E1025" s="20"/>
    </row>
    <row r="1026" spans="1:5">
      <c r="A1026" s="24">
        <v>197</v>
      </c>
      <c r="B1026" s="18" t="s">
        <v>2429</v>
      </c>
      <c r="C1026" s="21">
        <v>1912201610184</v>
      </c>
      <c r="D1026" s="20">
        <f>1448085.98/1000</f>
        <v>1448.0859800000001</v>
      </c>
      <c r="E1026" s="20"/>
    </row>
    <row r="1027" spans="1:5">
      <c r="A1027" s="24">
        <v>198</v>
      </c>
      <c r="B1027" s="18" t="s">
        <v>1720</v>
      </c>
      <c r="C1027" s="21">
        <v>20412197800798</v>
      </c>
      <c r="D1027" s="20">
        <f>1437596.35/1000</f>
        <v>1437.59635</v>
      </c>
      <c r="E1027" s="20"/>
    </row>
    <row r="1028" spans="1:5">
      <c r="A1028" s="24">
        <v>199</v>
      </c>
      <c r="B1028" s="18" t="s">
        <v>3074</v>
      </c>
      <c r="C1028" s="21">
        <v>1405202210432</v>
      </c>
      <c r="D1028" s="20">
        <f>1420690.88/1000</f>
        <v>1420.6908799999999</v>
      </c>
      <c r="E1028" s="20"/>
    </row>
    <row r="1029" spans="1:5">
      <c r="A1029" s="24">
        <v>200</v>
      </c>
      <c r="B1029" s="18" t="s">
        <v>3075</v>
      </c>
      <c r="C1029" s="21">
        <v>1706200410218</v>
      </c>
      <c r="D1029" s="20">
        <f>1426908.47/1000</f>
        <v>1426.9084700000001</v>
      </c>
      <c r="E1029" s="20">
        <v>6250.9</v>
      </c>
    </row>
    <row r="1030" spans="1:5">
      <c r="A1030" s="24">
        <v>201</v>
      </c>
      <c r="B1030" s="18" t="s">
        <v>867</v>
      </c>
      <c r="C1030" s="21">
        <v>204201210138</v>
      </c>
      <c r="D1030" s="20">
        <f>1444122.48/1000</f>
        <v>1444.12248</v>
      </c>
      <c r="E1030" s="20"/>
    </row>
    <row r="1031" spans="1:5">
      <c r="A1031" s="24">
        <v>202</v>
      </c>
      <c r="B1031" s="18" t="s">
        <v>3011</v>
      </c>
      <c r="C1031" s="21">
        <v>2005201610309</v>
      </c>
      <c r="D1031" s="20">
        <f>1411419.24/1000</f>
        <v>1411.4192399999999</v>
      </c>
      <c r="E1031" s="20"/>
    </row>
    <row r="1032" spans="1:5">
      <c r="A1032" s="24">
        <v>203</v>
      </c>
      <c r="B1032" s="18" t="s">
        <v>754</v>
      </c>
      <c r="C1032" s="21">
        <v>310201710111</v>
      </c>
      <c r="D1032" s="20">
        <f>1404424.78/1000</f>
        <v>1404.4247800000001</v>
      </c>
      <c r="E1032" s="20"/>
    </row>
    <row r="1033" spans="1:5">
      <c r="A1033" s="24">
        <v>204</v>
      </c>
      <c r="B1033" s="18" t="s">
        <v>1959</v>
      </c>
      <c r="C1033" s="21">
        <v>1506202310288</v>
      </c>
      <c r="D1033" s="20">
        <f>1400906.66/1000</f>
        <v>1400.9066599999999</v>
      </c>
      <c r="E1033" s="20"/>
    </row>
    <row r="1034" spans="1:5">
      <c r="A1034" s="24">
        <v>205</v>
      </c>
      <c r="B1034" s="18" t="s">
        <v>943</v>
      </c>
      <c r="C1034" s="21">
        <v>11003199500763</v>
      </c>
      <c r="D1034" s="20">
        <f>1380748.15/1000</f>
        <v>1380.7481499999999</v>
      </c>
      <c r="E1034" s="20"/>
    </row>
    <row r="1035" spans="1:5">
      <c r="A1035" s="24">
        <v>206</v>
      </c>
      <c r="B1035" s="18" t="s">
        <v>1967</v>
      </c>
      <c r="C1035" s="21">
        <v>2604202210333</v>
      </c>
      <c r="D1035" s="20">
        <f>1372655.82/1000</f>
        <v>1372.6558200000002</v>
      </c>
      <c r="E1035" s="20"/>
    </row>
    <row r="1036" spans="1:5">
      <c r="A1036" s="24">
        <v>207</v>
      </c>
      <c r="B1036" s="18" t="s">
        <v>944</v>
      </c>
      <c r="C1036" s="21">
        <v>2601200610058</v>
      </c>
      <c r="D1036" s="20">
        <f>1369947.35/1000</f>
        <v>1369.9473500000001</v>
      </c>
      <c r="E1036" s="20"/>
    </row>
    <row r="1037" spans="1:5">
      <c r="A1037" s="24">
        <v>208</v>
      </c>
      <c r="B1037" s="18" t="s">
        <v>3012</v>
      </c>
      <c r="C1037" s="21">
        <v>3004201310192</v>
      </c>
      <c r="D1037" s="20">
        <f>1373637.84/1000</f>
        <v>1373.6378400000001</v>
      </c>
      <c r="E1037" s="20"/>
    </row>
    <row r="1038" spans="1:5">
      <c r="A1038" s="24">
        <v>209</v>
      </c>
      <c r="B1038" s="18" t="s">
        <v>2415</v>
      </c>
      <c r="C1038" s="21">
        <v>22004198301161</v>
      </c>
      <c r="D1038" s="20">
        <f>1368230.72/1000</f>
        <v>1368.23072</v>
      </c>
      <c r="E1038" s="20"/>
    </row>
    <row r="1039" spans="1:5">
      <c r="A1039" s="24">
        <v>210</v>
      </c>
      <c r="B1039" s="18" t="s">
        <v>1716</v>
      </c>
      <c r="C1039" s="21">
        <v>1801201010062</v>
      </c>
      <c r="D1039" s="20">
        <f>1369559.72/1000</f>
        <v>1369.55972</v>
      </c>
      <c r="E1039" s="20"/>
    </row>
    <row r="1040" spans="1:5">
      <c r="A1040" s="24">
        <v>211</v>
      </c>
      <c r="B1040" s="18" t="s">
        <v>727</v>
      </c>
      <c r="C1040" s="21">
        <v>22406198401211</v>
      </c>
      <c r="D1040" s="20">
        <f>1349009.57/1000</f>
        <v>1349.0095700000002</v>
      </c>
      <c r="E1040" s="20"/>
    </row>
    <row r="1041" spans="1:5">
      <c r="A1041" s="24">
        <v>212</v>
      </c>
      <c r="B1041" s="18" t="s">
        <v>3013</v>
      </c>
      <c r="C1041" s="21">
        <v>21809199400627</v>
      </c>
      <c r="D1041" s="20">
        <f>1339583.2/1000</f>
        <v>1339.5832</v>
      </c>
      <c r="E1041" s="20"/>
    </row>
    <row r="1042" spans="1:5">
      <c r="A1042" s="24">
        <v>213</v>
      </c>
      <c r="B1042" s="18" t="s">
        <v>877</v>
      </c>
      <c r="C1042" s="21">
        <v>2409200910262</v>
      </c>
      <c r="D1042" s="20">
        <f>1342062/1000</f>
        <v>1342.0619999999999</v>
      </c>
      <c r="E1042" s="20"/>
    </row>
    <row r="1043" spans="1:5">
      <c r="A1043" s="24">
        <v>214</v>
      </c>
      <c r="B1043" s="18" t="s">
        <v>1717</v>
      </c>
      <c r="C1043" s="21">
        <v>11705197400923</v>
      </c>
      <c r="D1043" s="20">
        <f>1319214.28/1000</f>
        <v>1319.2142799999999</v>
      </c>
      <c r="E1043" s="20"/>
    </row>
    <row r="1044" spans="1:5">
      <c r="A1044" s="24">
        <v>215</v>
      </c>
      <c r="B1044" s="18" t="s">
        <v>3050</v>
      </c>
      <c r="C1044" s="21">
        <v>807200410063</v>
      </c>
      <c r="D1044" s="20">
        <f>1315549.63/1000</f>
        <v>1315.54963</v>
      </c>
      <c r="E1044" s="20"/>
    </row>
    <row r="1045" spans="1:5">
      <c r="A1045" s="24">
        <v>216</v>
      </c>
      <c r="B1045" s="18" t="s">
        <v>1718</v>
      </c>
      <c r="C1045" s="21">
        <v>110200910077</v>
      </c>
      <c r="D1045" s="20">
        <f>1331232.52/1000</f>
        <v>1331.23252</v>
      </c>
      <c r="E1045" s="20"/>
    </row>
    <row r="1046" spans="1:5">
      <c r="A1046" s="24">
        <v>217</v>
      </c>
      <c r="B1046" s="18" t="s">
        <v>1731</v>
      </c>
      <c r="C1046" s="21">
        <v>3011201210125</v>
      </c>
      <c r="D1046" s="20">
        <f>1306220.46/1000</f>
        <v>1306.22046</v>
      </c>
      <c r="E1046" s="20"/>
    </row>
    <row r="1047" spans="1:5">
      <c r="A1047" s="24">
        <v>218</v>
      </c>
      <c r="B1047" s="18" t="s">
        <v>946</v>
      </c>
      <c r="C1047" s="21">
        <v>3003202110160</v>
      </c>
      <c r="D1047" s="20">
        <f>1304552.94/1000</f>
        <v>1304.55294</v>
      </c>
      <c r="E1047" s="20"/>
    </row>
    <row r="1048" spans="1:5">
      <c r="A1048" s="24">
        <v>219</v>
      </c>
      <c r="B1048" s="18" t="s">
        <v>828</v>
      </c>
      <c r="C1048" s="21">
        <v>1801201410141</v>
      </c>
      <c r="D1048" s="20">
        <f>1280025.31/1000</f>
        <v>1280.02531</v>
      </c>
      <c r="E1048" s="20"/>
    </row>
    <row r="1049" spans="1:5">
      <c r="A1049" s="24">
        <v>220</v>
      </c>
      <c r="B1049" s="18" t="s">
        <v>731</v>
      </c>
      <c r="C1049" s="21">
        <v>12312197700799</v>
      </c>
      <c r="D1049" s="20">
        <f>1295804.89/1000</f>
        <v>1295.8048899999999</v>
      </c>
      <c r="E1049" s="20"/>
    </row>
    <row r="1050" spans="1:5">
      <c r="A1050" s="24">
        <v>221</v>
      </c>
      <c r="B1050" s="18" t="s">
        <v>3076</v>
      </c>
      <c r="C1050" s="21">
        <v>1804201810135</v>
      </c>
      <c r="D1050" s="20">
        <f>1320916/1000</f>
        <v>1320.9159999999999</v>
      </c>
      <c r="E1050" s="20">
        <v>1626.5</v>
      </c>
    </row>
    <row r="1051" spans="1:5">
      <c r="A1051" s="24">
        <v>222</v>
      </c>
      <c r="B1051" s="18" t="s">
        <v>759</v>
      </c>
      <c r="C1051" s="21">
        <v>2412201010118</v>
      </c>
      <c r="D1051" s="20">
        <f>1252272/1000</f>
        <v>1252.2719999999999</v>
      </c>
      <c r="E1051" s="20"/>
    </row>
    <row r="1052" spans="1:5">
      <c r="A1052" s="24">
        <v>223</v>
      </c>
      <c r="B1052" s="18" t="s">
        <v>746</v>
      </c>
      <c r="C1052" s="21">
        <v>1908201310224</v>
      </c>
      <c r="D1052" s="20">
        <f>1284132.17/1000</f>
        <v>1284.1321699999999</v>
      </c>
      <c r="E1052" s="20"/>
    </row>
    <row r="1053" spans="1:5">
      <c r="A1053" s="24">
        <v>224</v>
      </c>
      <c r="B1053" s="18" t="s">
        <v>870</v>
      </c>
      <c r="C1053" s="21">
        <v>104201510170</v>
      </c>
      <c r="D1053" s="20">
        <f>1251504.34/1000</f>
        <v>1251.5043400000002</v>
      </c>
      <c r="E1053" s="20"/>
    </row>
    <row r="1054" spans="1:5">
      <c r="A1054" s="24">
        <v>225</v>
      </c>
      <c r="B1054" s="18" t="s">
        <v>2416</v>
      </c>
      <c r="C1054" s="21">
        <v>2208200810233</v>
      </c>
      <c r="D1054" s="20">
        <f>1223970.19/1000</f>
        <v>1223.97019</v>
      </c>
      <c r="E1054" s="20"/>
    </row>
    <row r="1055" spans="1:5">
      <c r="A1055" s="24">
        <v>226</v>
      </c>
      <c r="B1055" s="18" t="s">
        <v>2417</v>
      </c>
      <c r="C1055" s="21">
        <v>21607199800524</v>
      </c>
      <c r="D1055" s="20">
        <f>1222167.44/1000</f>
        <v>1222.1674399999999</v>
      </c>
      <c r="E1055" s="20"/>
    </row>
    <row r="1056" spans="1:5">
      <c r="A1056" s="24">
        <v>227</v>
      </c>
      <c r="B1056" s="18" t="s">
        <v>760</v>
      </c>
      <c r="C1056" s="21">
        <v>601201110076</v>
      </c>
      <c r="D1056" s="20">
        <f>1220445.13/1000</f>
        <v>1220.4451299999998</v>
      </c>
      <c r="E1056" s="20"/>
    </row>
    <row r="1057" spans="1:5">
      <c r="A1057" s="24">
        <v>228</v>
      </c>
      <c r="B1057" s="18" t="s">
        <v>2419</v>
      </c>
      <c r="C1057" s="21">
        <v>511202010063</v>
      </c>
      <c r="D1057" s="20">
        <f>1219608.51/1000</f>
        <v>1219.60851</v>
      </c>
      <c r="E1057" s="20"/>
    </row>
    <row r="1058" spans="1:5">
      <c r="A1058" s="24">
        <v>229</v>
      </c>
      <c r="B1058" s="18" t="s">
        <v>717</v>
      </c>
      <c r="C1058" s="21">
        <v>20410198601752</v>
      </c>
      <c r="D1058" s="20">
        <f>1209173.2/1000</f>
        <v>1209.1732</v>
      </c>
      <c r="E1058" s="20"/>
    </row>
    <row r="1059" spans="1:5">
      <c r="A1059" s="24">
        <v>230</v>
      </c>
      <c r="B1059" s="18" t="s">
        <v>761</v>
      </c>
      <c r="C1059" s="21">
        <v>806200910161</v>
      </c>
      <c r="D1059" s="20">
        <f>1205525.65/1000</f>
        <v>1205.5256499999998</v>
      </c>
      <c r="E1059" s="20"/>
    </row>
    <row r="1060" spans="1:5">
      <c r="A1060" s="24">
        <v>231</v>
      </c>
      <c r="B1060" s="18" t="s">
        <v>2418</v>
      </c>
      <c r="C1060" s="21">
        <v>20306200150002</v>
      </c>
      <c r="D1060" s="20">
        <f>1202758.12/1000</f>
        <v>1202.7581200000002</v>
      </c>
      <c r="E1060" s="20"/>
    </row>
    <row r="1061" spans="1:5">
      <c r="A1061" s="24">
        <v>232</v>
      </c>
      <c r="B1061" s="18" t="s">
        <v>723</v>
      </c>
      <c r="C1061" s="21">
        <v>20505197101097</v>
      </c>
      <c r="D1061" s="20">
        <f>1184432.16/1000</f>
        <v>1184.4321599999998</v>
      </c>
      <c r="E1061" s="20"/>
    </row>
    <row r="1062" spans="1:5">
      <c r="A1062" s="24">
        <v>233</v>
      </c>
      <c r="B1062" s="18" t="s">
        <v>680</v>
      </c>
      <c r="C1062" s="21">
        <v>11101196000170</v>
      </c>
      <c r="D1062" s="20">
        <f>1181810.5/1000</f>
        <v>1181.8105</v>
      </c>
      <c r="E1062" s="20"/>
    </row>
    <row r="1063" spans="1:5">
      <c r="A1063" s="24">
        <v>234</v>
      </c>
      <c r="B1063" s="18" t="s">
        <v>3051</v>
      </c>
      <c r="C1063" s="21">
        <v>612201010200</v>
      </c>
      <c r="D1063" s="20">
        <f>1187798.13/1000</f>
        <v>1187.7981299999999</v>
      </c>
      <c r="E1063" s="20"/>
    </row>
    <row r="1064" spans="1:5">
      <c r="A1064" s="24">
        <v>235</v>
      </c>
      <c r="B1064" s="18" t="s">
        <v>2420</v>
      </c>
      <c r="C1064" s="21">
        <v>2209200910223</v>
      </c>
      <c r="D1064" s="20">
        <f>1165881.32/1000</f>
        <v>1165.88132</v>
      </c>
      <c r="E1064" s="20"/>
    </row>
    <row r="1065" spans="1:5">
      <c r="A1065" s="24">
        <v>236</v>
      </c>
      <c r="B1065" s="18" t="s">
        <v>2426</v>
      </c>
      <c r="C1065" s="21">
        <v>23005199000058</v>
      </c>
      <c r="D1065" s="20">
        <f>1160903.71/1000</f>
        <v>1160.90371</v>
      </c>
      <c r="E1065" s="20"/>
    </row>
    <row r="1066" spans="1:5">
      <c r="A1066" s="24">
        <v>237</v>
      </c>
      <c r="B1066" s="18" t="s">
        <v>945</v>
      </c>
      <c r="C1066" s="21">
        <v>20501193600408</v>
      </c>
      <c r="D1066" s="20">
        <f>1155096/1000</f>
        <v>1155.096</v>
      </c>
      <c r="E1066" s="20"/>
    </row>
    <row r="1067" spans="1:5">
      <c r="A1067" s="24">
        <v>238</v>
      </c>
      <c r="B1067" s="18" t="s">
        <v>1719</v>
      </c>
      <c r="C1067" s="21">
        <v>20110196500698</v>
      </c>
      <c r="D1067" s="20">
        <f>1128145.38/1000</f>
        <v>1128.1453799999999</v>
      </c>
      <c r="E1067" s="20"/>
    </row>
    <row r="1068" spans="1:5">
      <c r="A1068" s="24">
        <v>239</v>
      </c>
      <c r="B1068" s="18" t="s">
        <v>1962</v>
      </c>
      <c r="C1068" s="21">
        <v>607200710108</v>
      </c>
      <c r="D1068" s="20">
        <f>1142452.64/1000</f>
        <v>1142.45264</v>
      </c>
      <c r="E1068" s="20"/>
    </row>
    <row r="1069" spans="1:5">
      <c r="A1069" s="24">
        <v>240</v>
      </c>
      <c r="B1069" s="18" t="s">
        <v>862</v>
      </c>
      <c r="C1069" s="21">
        <v>906200610042</v>
      </c>
      <c r="D1069" s="20">
        <f>1125046.03/1000</f>
        <v>1125.04603</v>
      </c>
      <c r="E1069" s="20"/>
    </row>
    <row r="1070" spans="1:5">
      <c r="A1070" s="24">
        <v>241</v>
      </c>
      <c r="B1070" s="18" t="s">
        <v>3077</v>
      </c>
      <c r="C1070" s="21">
        <v>1209200510094</v>
      </c>
      <c r="D1070" s="20">
        <f>1134202.45/1000</f>
        <v>1134.20245</v>
      </c>
      <c r="E1070" s="20"/>
    </row>
    <row r="1071" spans="1:5">
      <c r="A1071" s="24">
        <v>242</v>
      </c>
      <c r="B1071" s="18" t="s">
        <v>3078</v>
      </c>
      <c r="C1071" s="21">
        <v>702202210435</v>
      </c>
      <c r="D1071" s="20">
        <f>1112874.71/1000</f>
        <v>1112.8747100000001</v>
      </c>
      <c r="E1071" s="20"/>
    </row>
    <row r="1072" spans="1:5">
      <c r="A1072" s="24">
        <v>243</v>
      </c>
      <c r="B1072" s="18" t="s">
        <v>3014</v>
      </c>
      <c r="C1072" s="21">
        <v>1301201710012</v>
      </c>
      <c r="D1072" s="20">
        <f>1109324.11/1000</f>
        <v>1109.32411</v>
      </c>
      <c r="E1072" s="20"/>
    </row>
    <row r="1073" spans="1:5">
      <c r="A1073" s="24">
        <v>244</v>
      </c>
      <c r="B1073" s="18" t="s">
        <v>2421</v>
      </c>
      <c r="C1073" s="21">
        <v>103202110359</v>
      </c>
      <c r="D1073" s="20">
        <f>1104945.5/1000</f>
        <v>1104.9455</v>
      </c>
      <c r="E1073" s="20"/>
    </row>
    <row r="1074" spans="1:5">
      <c r="A1074" s="24">
        <v>245</v>
      </c>
      <c r="B1074" s="18" t="s">
        <v>3015</v>
      </c>
      <c r="C1074" s="21">
        <v>2403202210266</v>
      </c>
      <c r="D1074" s="20">
        <f>1092926.63/1000</f>
        <v>1092.9266299999999</v>
      </c>
      <c r="E1074" s="20"/>
    </row>
    <row r="1075" spans="1:5">
      <c r="A1075" s="24">
        <v>246</v>
      </c>
      <c r="B1075" s="18" t="s">
        <v>3016</v>
      </c>
      <c r="C1075" s="21">
        <v>22112198400887</v>
      </c>
      <c r="D1075" s="20">
        <f>1079548.32/1000</f>
        <v>1079.5483200000001</v>
      </c>
      <c r="E1075" s="20"/>
    </row>
    <row r="1076" spans="1:5">
      <c r="A1076" s="24">
        <v>247</v>
      </c>
      <c r="B1076" s="18" t="s">
        <v>825</v>
      </c>
      <c r="C1076" s="21">
        <v>2202201810157</v>
      </c>
      <c r="D1076" s="20">
        <f>1088142.45/1000</f>
        <v>1088.1424500000001</v>
      </c>
      <c r="E1076" s="20"/>
    </row>
    <row r="1077" spans="1:5">
      <c r="A1077" s="24">
        <v>248</v>
      </c>
      <c r="B1077" s="18" t="s">
        <v>3086</v>
      </c>
      <c r="C1077" s="21">
        <v>707201410220</v>
      </c>
      <c r="D1077" s="20">
        <f>1104257.48/1000</f>
        <v>1104.25748</v>
      </c>
      <c r="E1077" s="20">
        <v>4214.8</v>
      </c>
    </row>
    <row r="1078" spans="1:5">
      <c r="A1078" s="24">
        <v>249</v>
      </c>
      <c r="B1078" s="18" t="s">
        <v>1960</v>
      </c>
      <c r="C1078" s="21">
        <v>510201810286</v>
      </c>
      <c r="D1078" s="20">
        <f>1070454.7/1000</f>
        <v>1070.4547</v>
      </c>
      <c r="E1078" s="20"/>
    </row>
    <row r="1079" spans="1:5">
      <c r="A1079" s="24">
        <v>250</v>
      </c>
      <c r="B1079" s="18" t="s">
        <v>896</v>
      </c>
      <c r="C1079" s="21">
        <v>12303197101102</v>
      </c>
      <c r="D1079" s="20">
        <f>1068101.65/1000</f>
        <v>1068.1016499999998</v>
      </c>
      <c r="E1079" s="20"/>
    </row>
    <row r="1080" spans="1:5">
      <c r="A1080" s="24">
        <v>251</v>
      </c>
      <c r="B1080" s="18" t="s">
        <v>1426</v>
      </c>
      <c r="C1080" s="21">
        <v>407200310092</v>
      </c>
      <c r="D1080" s="20">
        <f>1035496.49/1000</f>
        <v>1035.49649</v>
      </c>
      <c r="E1080" s="20"/>
    </row>
    <row r="1081" spans="1:5">
      <c r="A1081" s="24">
        <v>252</v>
      </c>
      <c r="B1081" s="18" t="s">
        <v>3087</v>
      </c>
      <c r="C1081" s="21">
        <v>1108200810048</v>
      </c>
      <c r="D1081" s="20">
        <f>1019794.25/1000</f>
        <v>1019.79425</v>
      </c>
      <c r="E1081" s="20"/>
    </row>
    <row r="1082" spans="1:5">
      <c r="A1082" s="24">
        <v>253</v>
      </c>
      <c r="B1082" s="18" t="s">
        <v>3088</v>
      </c>
      <c r="C1082" s="21">
        <v>2606200110034</v>
      </c>
      <c r="D1082" s="20">
        <f>1016942.51/1000</f>
        <v>1016.94251</v>
      </c>
      <c r="E1082" s="20"/>
    </row>
    <row r="1083" spans="1:5">
      <c r="A1083" s="24">
        <v>254</v>
      </c>
      <c r="B1083" s="18" t="s">
        <v>1715</v>
      </c>
      <c r="C1083" s="21">
        <v>1203202010187</v>
      </c>
      <c r="D1083" s="20">
        <f>971471.07/1000</f>
        <v>971.47106999999994</v>
      </c>
      <c r="E1083" s="20"/>
    </row>
    <row r="1084" spans="1:5">
      <c r="A1084" s="24">
        <v>255</v>
      </c>
      <c r="B1084" s="18" t="s">
        <v>712</v>
      </c>
      <c r="C1084" s="21">
        <v>20104195310021</v>
      </c>
      <c r="D1084" s="20">
        <f>970492/1000</f>
        <v>970.49199999999996</v>
      </c>
      <c r="E1084" s="20"/>
    </row>
    <row r="1085" spans="1:5">
      <c r="A1085" s="24">
        <v>256</v>
      </c>
      <c r="B1085" s="18" t="s">
        <v>3052</v>
      </c>
      <c r="C1085" s="21">
        <v>1212200210124</v>
      </c>
      <c r="D1085" s="20">
        <f>1043006.13/1000</f>
        <v>1043.00613</v>
      </c>
      <c r="E1085" s="20"/>
    </row>
    <row r="1086" spans="1:5">
      <c r="A1086" s="24">
        <v>257</v>
      </c>
      <c r="B1086" s="18" t="s">
        <v>3017</v>
      </c>
      <c r="C1086" s="21">
        <v>2605202010227</v>
      </c>
      <c r="D1086" s="20">
        <f>1026813.93/1000</f>
        <v>1026.81393</v>
      </c>
      <c r="E1086" s="20"/>
    </row>
    <row r="1087" spans="1:5">
      <c r="A1087" s="24">
        <v>258</v>
      </c>
      <c r="B1087" s="18" t="s">
        <v>864</v>
      </c>
      <c r="C1087" s="21">
        <v>2712201910089</v>
      </c>
      <c r="D1087" s="20">
        <f>945411/1000</f>
        <v>945.41099999999994</v>
      </c>
      <c r="E1087" s="20"/>
    </row>
    <row r="1088" spans="1:5">
      <c r="A1088" s="24">
        <v>259</v>
      </c>
      <c r="B1088" s="18" t="s">
        <v>3053</v>
      </c>
      <c r="C1088" s="21">
        <v>1707200910010</v>
      </c>
      <c r="D1088" s="20">
        <f>956963.18/1000</f>
        <v>956.96318000000008</v>
      </c>
      <c r="E1088" s="20"/>
    </row>
    <row r="1089" spans="1:5">
      <c r="A1089" s="24">
        <v>260</v>
      </c>
      <c r="B1089" s="18" t="s">
        <v>1427</v>
      </c>
      <c r="C1089" s="21">
        <v>3011202110328</v>
      </c>
      <c r="D1089" s="20">
        <f>917062.48/1000</f>
        <v>917.06247999999994</v>
      </c>
      <c r="E1089" s="20"/>
    </row>
    <row r="1090" spans="1:5">
      <c r="A1090" s="24">
        <v>261</v>
      </c>
      <c r="B1090" s="18" t="s">
        <v>1431</v>
      </c>
      <c r="C1090" s="21">
        <v>22608198400823</v>
      </c>
      <c r="D1090" s="20">
        <f>932053.19/1000</f>
        <v>932.05318999999997</v>
      </c>
      <c r="E1090" s="20"/>
    </row>
    <row r="1091" spans="1:5">
      <c r="A1091" s="24">
        <v>262</v>
      </c>
      <c r="B1091" s="18" t="s">
        <v>1432</v>
      </c>
      <c r="C1091" s="21">
        <v>1504201410292</v>
      </c>
      <c r="D1091" s="20">
        <f>1014222.7/1000</f>
        <v>1014.2226999999999</v>
      </c>
      <c r="E1091" s="20"/>
    </row>
    <row r="1092" spans="1:5">
      <c r="A1092" s="24">
        <v>263</v>
      </c>
      <c r="B1092" s="18" t="s">
        <v>3054</v>
      </c>
      <c r="C1092" s="21">
        <v>2911201110120</v>
      </c>
      <c r="D1092" s="20">
        <f>903743/1000</f>
        <v>903.74300000000005</v>
      </c>
      <c r="E1092" s="20"/>
    </row>
    <row r="1093" spans="1:5">
      <c r="A1093" s="24">
        <v>264</v>
      </c>
      <c r="B1093" s="18" t="s">
        <v>3055</v>
      </c>
      <c r="C1093" s="21">
        <v>509200710132</v>
      </c>
      <c r="D1093" s="20">
        <f>1053341.2/1000</f>
        <v>1053.3411999999998</v>
      </c>
      <c r="E1093" s="20"/>
    </row>
    <row r="1094" spans="1:5">
      <c r="A1094" s="24">
        <v>265</v>
      </c>
      <c r="B1094" s="18" t="s">
        <v>3056</v>
      </c>
      <c r="C1094" s="21">
        <v>2308200710136</v>
      </c>
      <c r="D1094" s="20">
        <f>896784/1000</f>
        <v>896.78399999999999</v>
      </c>
      <c r="E1094" s="20"/>
    </row>
    <row r="1095" spans="1:5">
      <c r="A1095" s="24">
        <v>266</v>
      </c>
      <c r="B1095" s="18" t="s">
        <v>713</v>
      </c>
      <c r="C1095" s="21">
        <v>11010197110051</v>
      </c>
      <c r="D1095" s="20">
        <f>893059.64/1000</f>
        <v>893.05964000000006</v>
      </c>
      <c r="E1095" s="20"/>
    </row>
    <row r="1096" spans="1:5">
      <c r="A1096" s="24">
        <v>267</v>
      </c>
      <c r="B1096" s="18" t="s">
        <v>3089</v>
      </c>
      <c r="C1096" s="21">
        <v>2802200810156</v>
      </c>
      <c r="D1096" s="20">
        <f>897635/1000</f>
        <v>897.63499999999999</v>
      </c>
      <c r="E1096" s="20"/>
    </row>
    <row r="1097" spans="1:5">
      <c r="A1097" s="24">
        <v>268</v>
      </c>
      <c r="B1097" s="18" t="s">
        <v>3018</v>
      </c>
      <c r="C1097" s="21">
        <v>1207201910041</v>
      </c>
      <c r="D1097" s="20">
        <f>883404.73/1000</f>
        <v>883.40472999999997</v>
      </c>
      <c r="E1097" s="20"/>
    </row>
    <row r="1098" spans="1:5">
      <c r="A1098" s="24">
        <v>269</v>
      </c>
      <c r="B1098" s="18" t="s">
        <v>882</v>
      </c>
      <c r="C1098" s="21">
        <v>2111201310063</v>
      </c>
      <c r="D1098" s="20">
        <f>907644.82/1000</f>
        <v>907.64481999999998</v>
      </c>
      <c r="E1098" s="20"/>
    </row>
    <row r="1099" spans="1:5">
      <c r="A1099" s="24">
        <v>270</v>
      </c>
      <c r="B1099" s="18" t="s">
        <v>850</v>
      </c>
      <c r="C1099" s="21">
        <v>2006201110091</v>
      </c>
      <c r="D1099" s="20">
        <f>875795.18/1000</f>
        <v>875.79518000000007</v>
      </c>
      <c r="E1099" s="20"/>
    </row>
    <row r="1100" spans="1:5">
      <c r="A1100" s="24">
        <v>271</v>
      </c>
      <c r="B1100" s="18" t="s">
        <v>3057</v>
      </c>
      <c r="C1100" s="21">
        <v>607200610140</v>
      </c>
      <c r="D1100" s="20">
        <f>878800.58/1000</f>
        <v>878.80057999999997</v>
      </c>
      <c r="E1100" s="20"/>
    </row>
    <row r="1101" spans="1:5">
      <c r="A1101" s="24">
        <v>272</v>
      </c>
      <c r="B1101" s="18" t="s">
        <v>3019</v>
      </c>
      <c r="C1101" s="21">
        <v>2208201610121</v>
      </c>
      <c r="D1101" s="20">
        <f>1134626.19/1000</f>
        <v>1134.62619</v>
      </c>
      <c r="E1101" s="20"/>
    </row>
    <row r="1102" spans="1:5">
      <c r="A1102" s="24">
        <v>273</v>
      </c>
      <c r="B1102" s="18" t="s">
        <v>1730</v>
      </c>
      <c r="C1102" s="21">
        <v>1406201910144</v>
      </c>
      <c r="D1102" s="20">
        <f>870308.29/1000</f>
        <v>870.30829000000006</v>
      </c>
      <c r="E1102" s="20"/>
    </row>
    <row r="1103" spans="1:5">
      <c r="A1103" s="24">
        <v>274</v>
      </c>
      <c r="B1103" s="18" t="s">
        <v>1179</v>
      </c>
      <c r="C1103" s="21">
        <v>712202010152</v>
      </c>
      <c r="D1103" s="20">
        <f>862609.91/1000</f>
        <v>862.60991000000001</v>
      </c>
      <c r="E1103" s="20"/>
    </row>
    <row r="1104" spans="1:5">
      <c r="A1104" s="24">
        <v>275</v>
      </c>
      <c r="B1104" s="18" t="s">
        <v>1428</v>
      </c>
      <c r="C1104" s="21">
        <v>1001201910112</v>
      </c>
      <c r="D1104" s="20">
        <f>856226.59/1000</f>
        <v>856.22658999999999</v>
      </c>
      <c r="E1104" s="20"/>
    </row>
    <row r="1105" spans="1:5">
      <c r="A1105" s="24">
        <v>276</v>
      </c>
      <c r="B1105" s="18" t="s">
        <v>1721</v>
      </c>
      <c r="C1105" s="21">
        <v>2801201310015</v>
      </c>
      <c r="D1105" s="20">
        <f>872147.17/1000</f>
        <v>872.14717000000007</v>
      </c>
      <c r="E1105" s="20"/>
    </row>
    <row r="1106" spans="1:5">
      <c r="A1106" s="24">
        <v>277</v>
      </c>
      <c r="B1106" s="18" t="s">
        <v>720</v>
      </c>
      <c r="C1106" s="21">
        <v>1907201310184</v>
      </c>
      <c r="D1106" s="20">
        <f>862288.05/1000</f>
        <v>862.28805</v>
      </c>
      <c r="E1106" s="20">
        <v>782.5</v>
      </c>
    </row>
    <row r="1107" spans="1:5">
      <c r="A1107" s="24">
        <v>278</v>
      </c>
      <c r="B1107" s="18" t="s">
        <v>715</v>
      </c>
      <c r="C1107" s="21">
        <v>22012199100636</v>
      </c>
      <c r="D1107" s="20">
        <f>858445.96/1000</f>
        <v>858.44596000000001</v>
      </c>
      <c r="E1107" s="20"/>
    </row>
    <row r="1108" spans="1:5">
      <c r="A1108" s="24">
        <v>279</v>
      </c>
      <c r="B1108" s="18" t="s">
        <v>724</v>
      </c>
      <c r="C1108" s="21">
        <v>22103198300502</v>
      </c>
      <c r="D1108" s="20">
        <f>835843/1000</f>
        <v>835.84299999999996</v>
      </c>
      <c r="E1108" s="20"/>
    </row>
    <row r="1109" spans="1:5">
      <c r="A1109" s="24">
        <v>280</v>
      </c>
      <c r="B1109" s="18" t="s">
        <v>1722</v>
      </c>
      <c r="C1109" s="21">
        <v>2907202010300</v>
      </c>
      <c r="D1109" s="20">
        <f>851270.85/1000</f>
        <v>851.27085</v>
      </c>
      <c r="E1109" s="20"/>
    </row>
    <row r="1110" spans="1:5">
      <c r="A1110" s="24">
        <v>281</v>
      </c>
      <c r="B1110" s="18" t="s">
        <v>3058</v>
      </c>
      <c r="C1110" s="21">
        <v>404200810061</v>
      </c>
      <c r="D1110" s="20">
        <f>817613.25/1000</f>
        <v>817.61324999999999</v>
      </c>
      <c r="E1110" s="20"/>
    </row>
    <row r="1111" spans="1:5">
      <c r="A1111" s="24">
        <v>282</v>
      </c>
      <c r="B1111" s="18" t="s">
        <v>3090</v>
      </c>
      <c r="C1111" s="21">
        <v>210199210057</v>
      </c>
      <c r="D1111" s="20">
        <f>800045.27/1000</f>
        <v>800.04527000000007</v>
      </c>
      <c r="E1111" s="20"/>
    </row>
    <row r="1112" spans="1:5">
      <c r="A1112" s="24">
        <v>283</v>
      </c>
      <c r="B1112" s="18" t="s">
        <v>1723</v>
      </c>
      <c r="C1112" s="21">
        <v>22905199001288</v>
      </c>
      <c r="D1112" s="20">
        <f>786606.07/1000</f>
        <v>786.60606999999993</v>
      </c>
      <c r="E1112" s="20"/>
    </row>
    <row r="1113" spans="1:5">
      <c r="A1113" s="24">
        <v>284</v>
      </c>
      <c r="B1113" s="18" t="s">
        <v>897</v>
      </c>
      <c r="C1113" s="21">
        <v>12108199300295</v>
      </c>
      <c r="D1113" s="20">
        <f>786306.97/1000</f>
        <v>786.30696999999998</v>
      </c>
      <c r="E1113" s="20"/>
    </row>
    <row r="1114" spans="1:5">
      <c r="A1114" s="24">
        <v>285</v>
      </c>
      <c r="B1114" s="18" t="s">
        <v>1729</v>
      </c>
      <c r="C1114" s="21">
        <v>1004201410067</v>
      </c>
      <c r="D1114" s="20">
        <f>588161.75/1000</f>
        <v>588.16174999999998</v>
      </c>
      <c r="E1114" s="20"/>
    </row>
    <row r="1115" spans="1:5">
      <c r="A1115" s="24">
        <v>286</v>
      </c>
      <c r="B1115" s="18" t="s">
        <v>1429</v>
      </c>
      <c r="C1115" s="21">
        <v>1104201610170</v>
      </c>
      <c r="D1115" s="20">
        <f>778997.47/1000</f>
        <v>778.99747000000002</v>
      </c>
      <c r="E1115" s="20"/>
    </row>
    <row r="1116" spans="1:5">
      <c r="A1116" s="24">
        <v>287</v>
      </c>
      <c r="B1116" s="18" t="s">
        <v>3091</v>
      </c>
      <c r="C1116" s="21">
        <v>2112202210128</v>
      </c>
      <c r="D1116" s="20">
        <f>846131.36/1000</f>
        <v>846.13135999999997</v>
      </c>
      <c r="E1116" s="20"/>
    </row>
    <row r="1117" spans="1:5">
      <c r="A1117" s="24">
        <v>288</v>
      </c>
      <c r="B1117" s="18" t="s">
        <v>2423</v>
      </c>
      <c r="C1117" s="21">
        <v>21808195800032</v>
      </c>
      <c r="D1117" s="20">
        <f>764671.26/1000</f>
        <v>764.67125999999996</v>
      </c>
      <c r="E1117" s="20"/>
    </row>
    <row r="1118" spans="1:5">
      <c r="A1118" s="24">
        <v>289</v>
      </c>
      <c r="B1118" s="18" t="s">
        <v>838</v>
      </c>
      <c r="C1118" s="21">
        <v>2805201010090</v>
      </c>
      <c r="D1118" s="20">
        <f>807395.17/1000</f>
        <v>807.39517000000001</v>
      </c>
      <c r="E1118" s="20"/>
    </row>
    <row r="1119" spans="1:5">
      <c r="A1119" s="24">
        <v>290</v>
      </c>
      <c r="B1119" s="18" t="s">
        <v>3059</v>
      </c>
      <c r="C1119" s="21">
        <v>806200710076</v>
      </c>
      <c r="D1119" s="20">
        <f>769732/1000</f>
        <v>769.73199999999997</v>
      </c>
      <c r="E1119" s="20"/>
    </row>
    <row r="1120" spans="1:5">
      <c r="A1120" s="24">
        <v>291</v>
      </c>
      <c r="B1120" s="18" t="s">
        <v>3085</v>
      </c>
      <c r="C1120" s="21">
        <v>204201310056</v>
      </c>
      <c r="D1120" s="20">
        <f>750301.24/1000</f>
        <v>750.30124000000001</v>
      </c>
      <c r="E1120" s="20"/>
    </row>
    <row r="1121" spans="1:5">
      <c r="A1121" s="24">
        <v>292</v>
      </c>
      <c r="B1121" s="28" t="s">
        <v>1963</v>
      </c>
      <c r="C1121" s="21">
        <v>21504198800746</v>
      </c>
      <c r="D1121" s="20">
        <f>1178610.98/1000</f>
        <v>1178.6109799999999</v>
      </c>
      <c r="E1121" s="20"/>
    </row>
    <row r="1122" spans="1:5">
      <c r="A1122" s="24">
        <v>293</v>
      </c>
      <c r="B1122" s="28" t="s">
        <v>751</v>
      </c>
      <c r="C1122" s="21">
        <v>2301201010304</v>
      </c>
      <c r="D1122" s="20">
        <f>758656.56/1000</f>
        <v>758.65656000000001</v>
      </c>
      <c r="E1122" s="20"/>
    </row>
    <row r="1123" spans="1:5">
      <c r="A1123" s="24">
        <v>294</v>
      </c>
      <c r="B1123" s="28" t="s">
        <v>3020</v>
      </c>
      <c r="C1123" s="21">
        <v>2102201210203</v>
      </c>
      <c r="D1123" s="20">
        <f>737551.79/1000</f>
        <v>737.55178999999998</v>
      </c>
      <c r="E1123" s="20"/>
    </row>
    <row r="1124" spans="1:5">
      <c r="A1124" s="24">
        <v>295</v>
      </c>
      <c r="B1124" s="28" t="s">
        <v>748</v>
      </c>
      <c r="C1124" s="21">
        <v>606201910252</v>
      </c>
      <c r="D1124" s="20">
        <f>751298.74/1000</f>
        <v>751.29873999999995</v>
      </c>
      <c r="E1124" s="20"/>
    </row>
    <row r="1125" spans="1:5">
      <c r="A1125" s="24">
        <v>296</v>
      </c>
      <c r="B1125" s="28" t="s">
        <v>3021</v>
      </c>
      <c r="C1125" s="21">
        <v>1212202210172</v>
      </c>
      <c r="D1125" s="20">
        <f>730330.04/1000</f>
        <v>730.33004000000005</v>
      </c>
      <c r="E1125" s="20"/>
    </row>
    <row r="1126" spans="1:5">
      <c r="A1126" s="24">
        <v>297</v>
      </c>
      <c r="B1126" s="28" t="s">
        <v>3084</v>
      </c>
      <c r="C1126" s="21">
        <v>1709200810227</v>
      </c>
      <c r="D1126" s="20">
        <f>767160.91/1000</f>
        <v>767.16091000000006</v>
      </c>
      <c r="E1126" s="20"/>
    </row>
    <row r="1127" spans="1:5">
      <c r="A1127" s="24">
        <v>298</v>
      </c>
      <c r="B1127" s="28" t="s">
        <v>1178</v>
      </c>
      <c r="C1127" s="21">
        <v>21811199600454</v>
      </c>
      <c r="D1127" s="20">
        <f>721380/1000</f>
        <v>721.38</v>
      </c>
      <c r="E1127" s="20"/>
    </row>
    <row r="1128" spans="1:5">
      <c r="A1128" s="24">
        <v>299</v>
      </c>
      <c r="B1128" s="28" t="s">
        <v>3093</v>
      </c>
      <c r="C1128" s="21">
        <v>1106200710079</v>
      </c>
      <c r="D1128" s="20">
        <f>763868.17/1000</f>
        <v>763.86817000000008</v>
      </c>
      <c r="E1128" s="20"/>
    </row>
    <row r="1129" spans="1:5">
      <c r="A1129" s="24">
        <v>300</v>
      </c>
      <c r="B1129" s="28" t="s">
        <v>3092</v>
      </c>
      <c r="C1129" s="21">
        <v>309200710109</v>
      </c>
      <c r="D1129" s="20">
        <f>708488.7/1000</f>
        <v>708.48869999999999</v>
      </c>
      <c r="E1129" s="20"/>
    </row>
    <row r="1130" spans="1:5">
      <c r="A1130" s="24">
        <v>301</v>
      </c>
      <c r="B1130" s="28" t="s">
        <v>829</v>
      </c>
      <c r="C1130" s="21">
        <v>1801201410228</v>
      </c>
      <c r="D1130" s="20">
        <f>704401.76/1000</f>
        <v>704.40175999999997</v>
      </c>
      <c r="E1130" s="20"/>
    </row>
    <row r="1131" spans="1:5">
      <c r="A1131" s="24">
        <v>302</v>
      </c>
      <c r="B1131" s="28" t="s">
        <v>1961</v>
      </c>
      <c r="C1131" s="21">
        <v>20211197310044</v>
      </c>
      <c r="D1131" s="20">
        <f>697895.75/1000</f>
        <v>697.89575000000002</v>
      </c>
      <c r="E1131" s="20"/>
    </row>
    <row r="1132" spans="1:5">
      <c r="A1132" s="24">
        <v>303</v>
      </c>
      <c r="B1132" s="28" t="s">
        <v>71</v>
      </c>
      <c r="C1132" s="21">
        <v>607200710225</v>
      </c>
      <c r="D1132" s="20">
        <f>697076.94/1000</f>
        <v>697.07693999999992</v>
      </c>
      <c r="E1132" s="20"/>
    </row>
    <row r="1133" spans="1:5">
      <c r="A1133" s="24">
        <v>304</v>
      </c>
      <c r="B1133" s="28" t="s">
        <v>718</v>
      </c>
      <c r="C1133" s="21">
        <v>21301195600017</v>
      </c>
      <c r="D1133" s="20">
        <f>706646.35/1000</f>
        <v>706.64634999999998</v>
      </c>
      <c r="E1133" s="20"/>
    </row>
    <row r="1134" spans="1:5">
      <c r="A1134" s="24">
        <v>305</v>
      </c>
      <c r="B1134" s="28" t="s">
        <v>3022</v>
      </c>
      <c r="C1134" s="21">
        <v>20105200000785</v>
      </c>
      <c r="D1134" s="20">
        <f>686768.62/1000</f>
        <v>686.76861999999994</v>
      </c>
      <c r="E1134" s="20"/>
    </row>
    <row r="1135" spans="1:5">
      <c r="A1135" s="24">
        <v>306</v>
      </c>
      <c r="B1135" s="28" t="s">
        <v>858</v>
      </c>
      <c r="C1135" s="21">
        <v>2912201510399</v>
      </c>
      <c r="D1135" s="20">
        <f>685152.83/1000</f>
        <v>685.15282999999999</v>
      </c>
      <c r="E1135" s="20"/>
    </row>
    <row r="1136" spans="1:5">
      <c r="A1136" s="24">
        <v>307</v>
      </c>
      <c r="B1136" s="28" t="s">
        <v>3023</v>
      </c>
      <c r="C1136" s="21">
        <v>1710202210188</v>
      </c>
      <c r="D1136" s="20">
        <f>680109.77/1000</f>
        <v>680.10977000000003</v>
      </c>
      <c r="E1136" s="20"/>
    </row>
    <row r="1137" spans="1:5">
      <c r="A1137" s="24">
        <v>308</v>
      </c>
      <c r="B1137" s="28" t="s">
        <v>1727</v>
      </c>
      <c r="C1137" s="21">
        <v>10403196000758</v>
      </c>
      <c r="D1137" s="20">
        <f>670961.05/1000</f>
        <v>670.96105</v>
      </c>
      <c r="E1137" s="20"/>
    </row>
    <row r="1138" spans="1:5">
      <c r="A1138" s="24">
        <v>309</v>
      </c>
      <c r="B1138" s="28" t="s">
        <v>783</v>
      </c>
      <c r="C1138" s="21">
        <v>21007195610098</v>
      </c>
      <c r="D1138" s="20">
        <f>669952.3/1000</f>
        <v>669.95230000000004</v>
      </c>
      <c r="E1138" s="20"/>
    </row>
    <row r="1139" spans="1:5">
      <c r="A1139" s="24">
        <v>310</v>
      </c>
      <c r="B1139" s="18" t="s">
        <v>3083</v>
      </c>
      <c r="C1139" s="21">
        <v>2910200410095</v>
      </c>
      <c r="D1139" s="20">
        <f>659830/1000</f>
        <v>659.83</v>
      </c>
      <c r="E1139" s="20"/>
    </row>
    <row r="1140" spans="1:5">
      <c r="A1140" s="24">
        <v>311</v>
      </c>
      <c r="B1140" s="18" t="s">
        <v>2424</v>
      </c>
      <c r="C1140" s="21">
        <v>2608202210515</v>
      </c>
      <c r="D1140" s="20">
        <f>657193.1/1000</f>
        <v>657.19309999999996</v>
      </c>
      <c r="E1140" s="20"/>
    </row>
    <row r="1141" spans="1:5">
      <c r="A1141" s="24">
        <v>312</v>
      </c>
      <c r="B1141" s="18" t="s">
        <v>1726</v>
      </c>
      <c r="C1141" s="21">
        <v>2901202110431</v>
      </c>
      <c r="D1141" s="20">
        <f>657555.27/1000</f>
        <v>657.55527000000006</v>
      </c>
      <c r="E1141" s="20"/>
    </row>
    <row r="1142" spans="1:5">
      <c r="A1142" s="24">
        <v>313</v>
      </c>
      <c r="B1142" s="18" t="s">
        <v>1964</v>
      </c>
      <c r="C1142" s="21">
        <v>20208198600393</v>
      </c>
      <c r="D1142" s="20">
        <f>655259.79/1000</f>
        <v>655.25979000000007</v>
      </c>
      <c r="E1142" s="20"/>
    </row>
    <row r="1143" spans="1:5">
      <c r="A1143" s="24">
        <v>314</v>
      </c>
      <c r="B1143" s="18" t="s">
        <v>3024</v>
      </c>
      <c r="C1143" s="21">
        <v>2303201210183</v>
      </c>
      <c r="D1143" s="20">
        <f>708961.93/1000</f>
        <v>708.96193000000005</v>
      </c>
      <c r="E1143" s="20"/>
    </row>
    <row r="1144" spans="1:5">
      <c r="A1144" s="24">
        <v>315</v>
      </c>
      <c r="B1144" s="18" t="s">
        <v>3082</v>
      </c>
      <c r="C1144" s="21">
        <v>209201510061</v>
      </c>
      <c r="D1144" s="20">
        <f>659307.6/1000</f>
        <v>659.30759999999998</v>
      </c>
      <c r="E1144" s="20">
        <v>2878.2</v>
      </c>
    </row>
    <row r="1145" spans="1:5">
      <c r="A1145" s="24">
        <v>316</v>
      </c>
      <c r="B1145" s="18" t="s">
        <v>714</v>
      </c>
      <c r="C1145" s="21">
        <v>22802196000521</v>
      </c>
      <c r="D1145" s="20">
        <f>642626.97/1000</f>
        <v>642.62697000000003</v>
      </c>
      <c r="E1145" s="20"/>
    </row>
    <row r="1146" spans="1:5">
      <c r="A1146" s="24">
        <v>317</v>
      </c>
      <c r="B1146" s="18" t="s">
        <v>3094</v>
      </c>
      <c r="C1146" s="21">
        <v>1709200410074</v>
      </c>
      <c r="D1146" s="20">
        <f>635600.93/1000</f>
        <v>635.60093000000006</v>
      </c>
      <c r="E1146" s="20"/>
    </row>
    <row r="1147" spans="1:5">
      <c r="A1147" s="24">
        <v>318</v>
      </c>
      <c r="B1147" s="18" t="s">
        <v>3025</v>
      </c>
      <c r="C1147" s="21">
        <v>20312199001114</v>
      </c>
      <c r="D1147" s="20">
        <f>633847/1000</f>
        <v>633.84699999999998</v>
      </c>
      <c r="E1147" s="20"/>
    </row>
    <row r="1148" spans="1:5">
      <c r="A1148" s="24">
        <v>319</v>
      </c>
      <c r="B1148" s="18" t="s">
        <v>3026</v>
      </c>
      <c r="C1148" s="21">
        <v>20305200200620</v>
      </c>
      <c r="D1148" s="20">
        <f>633789.54/1000</f>
        <v>633.78953999999999</v>
      </c>
      <c r="E1148" s="20"/>
    </row>
    <row r="1149" spans="1:5">
      <c r="A1149" s="24">
        <v>320</v>
      </c>
      <c r="B1149" s="18" t="s">
        <v>1728</v>
      </c>
      <c r="C1149" s="21">
        <v>20405199301172</v>
      </c>
      <c r="D1149" s="20">
        <f>621865.17/1000</f>
        <v>621.86517000000003</v>
      </c>
      <c r="E1149" s="20"/>
    </row>
    <row r="1150" spans="1:5">
      <c r="A1150" s="24">
        <v>321</v>
      </c>
      <c r="B1150" s="18" t="s">
        <v>2411</v>
      </c>
      <c r="C1150" s="21">
        <v>1107201710246</v>
      </c>
      <c r="D1150" s="20">
        <f>618849.56/1000</f>
        <v>618.84956000000011</v>
      </c>
      <c r="E1150" s="20"/>
    </row>
    <row r="1151" spans="1:5">
      <c r="A1151" s="24">
        <v>322</v>
      </c>
      <c r="B1151" s="18" t="s">
        <v>947</v>
      </c>
      <c r="C1151" s="21">
        <v>402201010049</v>
      </c>
      <c r="D1151" s="20">
        <f>636800.53/1000</f>
        <v>636.80052999999998</v>
      </c>
      <c r="E1151" s="20"/>
    </row>
    <row r="1152" spans="1:5">
      <c r="A1152" s="24">
        <v>323</v>
      </c>
      <c r="B1152" s="18" t="s">
        <v>886</v>
      </c>
      <c r="C1152" s="21">
        <v>208201210240</v>
      </c>
      <c r="D1152" s="20">
        <f>625568.89/1000</f>
        <v>625.56889000000001</v>
      </c>
      <c r="E1152" s="20"/>
    </row>
    <row r="1153" spans="1:5">
      <c r="A1153" s="24">
        <v>324</v>
      </c>
      <c r="B1153" s="18" t="s">
        <v>856</v>
      </c>
      <c r="C1153" s="21">
        <v>903201710378</v>
      </c>
      <c r="D1153" s="20">
        <f>613188.73/1000</f>
        <v>613.18872999999996</v>
      </c>
      <c r="E1153" s="20"/>
    </row>
    <row r="1154" spans="1:5">
      <c r="A1154" s="24">
        <v>325</v>
      </c>
      <c r="B1154" s="18" t="s">
        <v>3027</v>
      </c>
      <c r="C1154" s="21">
        <v>1109201710204</v>
      </c>
      <c r="D1154" s="20">
        <f>610272.88/1000</f>
        <v>610.27287999999999</v>
      </c>
      <c r="E1154" s="20"/>
    </row>
    <row r="1155" spans="1:5">
      <c r="A1155" s="24">
        <v>326</v>
      </c>
      <c r="B1155" s="18" t="s">
        <v>1966</v>
      </c>
      <c r="C1155" s="21">
        <v>12901197600513</v>
      </c>
      <c r="D1155" s="20">
        <f>606528.26/1000</f>
        <v>606.52826000000005</v>
      </c>
      <c r="E1155" s="20"/>
    </row>
    <row r="1156" spans="1:5">
      <c r="A1156" s="24">
        <v>327</v>
      </c>
      <c r="B1156" s="18" t="s">
        <v>3060</v>
      </c>
      <c r="C1156" s="21">
        <v>503201510021</v>
      </c>
      <c r="D1156" s="20">
        <f>606202.2/1000</f>
        <v>606.20219999999995</v>
      </c>
      <c r="E1156" s="20"/>
    </row>
    <row r="1157" spans="1:5">
      <c r="A1157" s="24">
        <v>328</v>
      </c>
      <c r="B1157" s="18" t="s">
        <v>1725</v>
      </c>
      <c r="C1157" s="21">
        <v>12406196100498</v>
      </c>
      <c r="D1157" s="20">
        <f>605560/1000</f>
        <v>605.55999999999995</v>
      </c>
      <c r="E1157" s="20"/>
    </row>
    <row r="1158" spans="1:5">
      <c r="A1158" s="24">
        <v>329</v>
      </c>
      <c r="B1158" s="18" t="s">
        <v>2425</v>
      </c>
      <c r="C1158" s="21">
        <v>3101201210091</v>
      </c>
      <c r="D1158" s="20">
        <f>605345.57/1000</f>
        <v>605.34556999999995</v>
      </c>
      <c r="E1158" s="20"/>
    </row>
    <row r="1159" spans="1:5">
      <c r="A1159" s="24">
        <v>330</v>
      </c>
      <c r="B1159" s="18" t="s">
        <v>860</v>
      </c>
      <c r="C1159" s="21">
        <v>2409200910257</v>
      </c>
      <c r="D1159" s="20">
        <f>601141/1000</f>
        <v>601.14099999999996</v>
      </c>
      <c r="E1159" s="20"/>
    </row>
    <row r="1160" spans="1:5">
      <c r="A1160" s="24">
        <v>331</v>
      </c>
      <c r="B1160" s="18" t="s">
        <v>2452</v>
      </c>
      <c r="C1160" s="21">
        <v>2501201210149</v>
      </c>
      <c r="D1160" s="20">
        <f>596890.36/1000</f>
        <v>596.89035999999999</v>
      </c>
      <c r="E1160" s="20">
        <v>1718.5</v>
      </c>
    </row>
    <row r="1161" spans="1:5">
      <c r="A1161" s="24">
        <v>332</v>
      </c>
      <c r="B1161" s="18" t="s">
        <v>3080</v>
      </c>
      <c r="C1161" s="21">
        <v>512201910194</v>
      </c>
      <c r="D1161" s="20">
        <f>580030.41/1000</f>
        <v>580.03041000000007</v>
      </c>
      <c r="E1161" s="20"/>
    </row>
    <row r="1162" spans="1:5">
      <c r="A1162" s="24">
        <v>333</v>
      </c>
      <c r="B1162" s="18" t="s">
        <v>871</v>
      </c>
      <c r="C1162" s="21">
        <v>108201110237</v>
      </c>
      <c r="D1162" s="20">
        <f>588650/1000</f>
        <v>588.65</v>
      </c>
      <c r="E1162" s="20"/>
    </row>
    <row r="1163" spans="1:5">
      <c r="A1163" s="24">
        <v>334</v>
      </c>
      <c r="B1163" s="18" t="s">
        <v>722</v>
      </c>
      <c r="C1163" s="21">
        <v>311201110084</v>
      </c>
      <c r="D1163" s="20">
        <f>598100.11/1000</f>
        <v>598.10010999999997</v>
      </c>
      <c r="E1163" s="20"/>
    </row>
    <row r="1164" spans="1:5">
      <c r="A1164" s="24">
        <v>335</v>
      </c>
      <c r="B1164" s="18" t="s">
        <v>730</v>
      </c>
      <c r="C1164" s="21">
        <v>11510196800045</v>
      </c>
      <c r="D1164" s="20">
        <f>578811.16/1000</f>
        <v>578.81116000000009</v>
      </c>
      <c r="E1164" s="20"/>
    </row>
    <row r="1165" spans="1:5">
      <c r="A1165" s="24">
        <v>336</v>
      </c>
      <c r="B1165" s="18" t="s">
        <v>1965</v>
      </c>
      <c r="C1165" s="21">
        <v>22002196700022</v>
      </c>
      <c r="D1165" s="20">
        <f>571452.26/1000</f>
        <v>571.45226000000002</v>
      </c>
      <c r="E1165" s="20"/>
    </row>
    <row r="1166" spans="1:5">
      <c r="A1166" s="24">
        <v>337</v>
      </c>
      <c r="B1166" s="18" t="s">
        <v>3081</v>
      </c>
      <c r="C1166" s="21">
        <v>2908200810169</v>
      </c>
      <c r="D1166" s="20">
        <f>585582.8/1000</f>
        <v>585.58280000000002</v>
      </c>
      <c r="E1166" s="20"/>
    </row>
    <row r="1167" spans="1:5">
      <c r="A1167" s="24">
        <v>338</v>
      </c>
      <c r="B1167" s="18" t="s">
        <v>948</v>
      </c>
      <c r="C1167" s="21">
        <v>804201110164</v>
      </c>
      <c r="D1167" s="20">
        <f>558177.83/1000</f>
        <v>558.17782999999997</v>
      </c>
      <c r="E1167" s="20"/>
    </row>
    <row r="1168" spans="1:5">
      <c r="A1168" s="24">
        <v>339</v>
      </c>
      <c r="B1168" s="18" t="s">
        <v>3079</v>
      </c>
      <c r="C1168" s="21">
        <v>202201510309</v>
      </c>
      <c r="D1168" s="20">
        <f>828998.3/1000</f>
        <v>828.99830000000009</v>
      </c>
      <c r="E1168" s="20"/>
    </row>
    <row r="1169" spans="1:5">
      <c r="A1169" s="24">
        <v>340</v>
      </c>
      <c r="B1169" s="18" t="s">
        <v>721</v>
      </c>
      <c r="C1169" s="21">
        <v>1602201010300</v>
      </c>
      <c r="D1169" s="20">
        <f>569548.78/1000</f>
        <v>569.54878000000008</v>
      </c>
      <c r="E1169" s="20"/>
    </row>
    <row r="1170" spans="1:5">
      <c r="A1170" s="24">
        <v>341</v>
      </c>
      <c r="B1170" s="18" t="s">
        <v>884</v>
      </c>
      <c r="C1170" s="21">
        <v>1007200910138</v>
      </c>
      <c r="D1170" s="20">
        <f>540774.81/1000</f>
        <v>540.77481</v>
      </c>
      <c r="E1170" s="20"/>
    </row>
    <row r="1171" spans="1:5">
      <c r="A1171" s="24">
        <v>342</v>
      </c>
      <c r="B1171" s="18" t="s">
        <v>836</v>
      </c>
      <c r="C1171" s="21">
        <v>307201310084</v>
      </c>
      <c r="D1171" s="20">
        <f>543150.5/1000</f>
        <v>543.15049999999997</v>
      </c>
      <c r="E1171" s="20"/>
    </row>
    <row r="1172" spans="1:5">
      <c r="A1172" s="24">
        <v>343</v>
      </c>
      <c r="B1172" s="18" t="s">
        <v>2427</v>
      </c>
      <c r="C1172" s="21">
        <v>405200710233</v>
      </c>
      <c r="D1172" s="20">
        <f>523596.37/1000</f>
        <v>523.59636999999998</v>
      </c>
      <c r="E1172" s="20"/>
    </row>
    <row r="1173" spans="1:5">
      <c r="A1173" s="24">
        <v>344</v>
      </c>
      <c r="B1173" s="18" t="s">
        <v>869</v>
      </c>
      <c r="C1173" s="21">
        <v>909201010016</v>
      </c>
      <c r="D1173" s="20">
        <f>541066.29/1000</f>
        <v>541.06628999999998</v>
      </c>
      <c r="E1173" s="20"/>
    </row>
    <row r="1174" spans="1:5">
      <c r="A1174" s="24">
        <v>345</v>
      </c>
      <c r="B1174" s="18" t="s">
        <v>762</v>
      </c>
      <c r="C1174" s="21">
        <v>1309201110143</v>
      </c>
      <c r="D1174" s="20">
        <f>522960.18/1000</f>
        <v>522.96018000000004</v>
      </c>
      <c r="E1174" s="20"/>
    </row>
    <row r="1175" spans="1:5">
      <c r="A1175" s="24">
        <v>346</v>
      </c>
      <c r="B1175" s="18" t="s">
        <v>3028</v>
      </c>
      <c r="C1175" s="21">
        <v>22304198800224</v>
      </c>
      <c r="D1175" s="20">
        <f>501366.02/1000</f>
        <v>501.36601999999999</v>
      </c>
      <c r="E1175" s="20"/>
    </row>
    <row r="1176" spans="1:5">
      <c r="A1176" s="24">
        <v>347</v>
      </c>
      <c r="B1176" s="18" t="s">
        <v>3123</v>
      </c>
      <c r="C1176" s="21" t="s">
        <v>3095</v>
      </c>
      <c r="D1176" s="20"/>
      <c r="E1176" s="20">
        <v>18179.6224</v>
      </c>
    </row>
    <row r="1177" spans="1:5">
      <c r="A1177" s="24">
        <v>348</v>
      </c>
      <c r="B1177" s="18" t="s">
        <v>3135</v>
      </c>
      <c r="C1177" s="21" t="s">
        <v>3096</v>
      </c>
      <c r="D1177" s="20"/>
      <c r="E1177" s="20">
        <v>17352.539430000001</v>
      </c>
    </row>
    <row r="1178" spans="1:5">
      <c r="A1178" s="24">
        <v>349</v>
      </c>
      <c r="B1178" s="18" t="s">
        <v>3136</v>
      </c>
      <c r="C1178" s="21" t="s">
        <v>3097</v>
      </c>
      <c r="D1178" s="20"/>
      <c r="E1178" s="20">
        <v>13501.815349999999</v>
      </c>
    </row>
    <row r="1179" spans="1:5">
      <c r="A1179" s="24">
        <v>350</v>
      </c>
      <c r="B1179" s="18" t="s">
        <v>3120</v>
      </c>
      <c r="C1179" s="21" t="s">
        <v>3098</v>
      </c>
      <c r="D1179" s="20"/>
      <c r="E1179" s="20">
        <v>9345.15337</v>
      </c>
    </row>
    <row r="1180" spans="1:5">
      <c r="A1180" s="24">
        <v>351</v>
      </c>
      <c r="B1180" s="18" t="s">
        <v>3133</v>
      </c>
      <c r="C1180" s="21" t="s">
        <v>3099</v>
      </c>
      <c r="D1180" s="20"/>
      <c r="E1180" s="20">
        <v>3583.1642299999999</v>
      </c>
    </row>
    <row r="1181" spans="1:5">
      <c r="A1181" s="24">
        <v>352</v>
      </c>
      <c r="B1181" s="18" t="s">
        <v>3134</v>
      </c>
      <c r="C1181" s="21" t="s">
        <v>3100</v>
      </c>
      <c r="D1181" s="20"/>
      <c r="E1181" s="20">
        <v>3301.4226600000002</v>
      </c>
    </row>
    <row r="1182" spans="1:5">
      <c r="A1182" s="24">
        <v>353</v>
      </c>
      <c r="B1182" s="18" t="s">
        <v>3137</v>
      </c>
      <c r="C1182" s="21" t="s">
        <v>3101</v>
      </c>
      <c r="D1182" s="20"/>
      <c r="E1182" s="20">
        <v>1941.0002099999999</v>
      </c>
    </row>
    <row r="1183" spans="1:5">
      <c r="A1183" s="24">
        <v>354</v>
      </c>
      <c r="B1183" s="18" t="s">
        <v>3128</v>
      </c>
      <c r="C1183" s="21" t="s">
        <v>3102</v>
      </c>
      <c r="D1183" s="20"/>
      <c r="E1183" s="20">
        <v>1849.0685100000001</v>
      </c>
    </row>
    <row r="1184" spans="1:5">
      <c r="A1184" s="24">
        <v>355</v>
      </c>
      <c r="B1184" s="18" t="s">
        <v>3129</v>
      </c>
      <c r="C1184" s="21" t="s">
        <v>3103</v>
      </c>
      <c r="D1184" s="20"/>
      <c r="E1184" s="20">
        <v>1200.5580600000001</v>
      </c>
    </row>
    <row r="1185" spans="1:5">
      <c r="A1185" s="24">
        <v>356</v>
      </c>
      <c r="B1185" s="18" t="s">
        <v>3130</v>
      </c>
      <c r="C1185" s="21" t="s">
        <v>3104</v>
      </c>
      <c r="D1185" s="20"/>
      <c r="E1185" s="20">
        <v>1108.0279800000001</v>
      </c>
    </row>
    <row r="1186" spans="1:5">
      <c r="A1186" s="24">
        <v>357</v>
      </c>
      <c r="B1186" s="18" t="s">
        <v>3138</v>
      </c>
      <c r="C1186" s="21" t="s">
        <v>3105</v>
      </c>
      <c r="D1186" s="20"/>
      <c r="E1186" s="20">
        <v>987.24886000000004</v>
      </c>
    </row>
    <row r="1187" spans="1:5">
      <c r="A1187" s="24">
        <v>358</v>
      </c>
      <c r="B1187" s="18" t="s">
        <v>3131</v>
      </c>
      <c r="C1187" s="21" t="s">
        <v>3106</v>
      </c>
      <c r="D1187" s="20"/>
      <c r="E1187" s="20">
        <v>859.42434999999989</v>
      </c>
    </row>
    <row r="1188" spans="1:5">
      <c r="A1188" s="24">
        <v>359</v>
      </c>
      <c r="B1188" s="18" t="s">
        <v>3142</v>
      </c>
      <c r="C1188" s="21" t="s">
        <v>3107</v>
      </c>
      <c r="D1188" s="20"/>
      <c r="E1188" s="20">
        <v>847.86908000000005</v>
      </c>
    </row>
    <row r="1189" spans="1:5">
      <c r="A1189" s="24">
        <v>360</v>
      </c>
      <c r="B1189" s="18" t="s">
        <v>3143</v>
      </c>
      <c r="C1189" s="21" t="s">
        <v>3108</v>
      </c>
      <c r="D1189" s="20"/>
      <c r="E1189" s="20">
        <v>763.11338999999987</v>
      </c>
    </row>
    <row r="1190" spans="1:5">
      <c r="A1190" s="24">
        <v>361</v>
      </c>
      <c r="B1190" s="18" t="s">
        <v>3121</v>
      </c>
      <c r="C1190" s="21" t="s">
        <v>3109</v>
      </c>
      <c r="D1190" s="20"/>
      <c r="E1190" s="20">
        <v>721.02572999999995</v>
      </c>
    </row>
    <row r="1191" spans="1:5">
      <c r="A1191" s="24">
        <v>362</v>
      </c>
      <c r="B1191" s="18" t="s">
        <v>3139</v>
      </c>
      <c r="C1191" s="21" t="s">
        <v>3110</v>
      </c>
      <c r="D1191" s="20"/>
      <c r="E1191" s="20">
        <v>695.26794999999993</v>
      </c>
    </row>
    <row r="1192" spans="1:5">
      <c r="A1192" s="24">
        <v>363</v>
      </c>
      <c r="B1192" s="18" t="s">
        <v>3124</v>
      </c>
      <c r="C1192" s="21" t="s">
        <v>3111</v>
      </c>
      <c r="D1192" s="20"/>
      <c r="E1192" s="20">
        <v>662.00644999999997</v>
      </c>
    </row>
    <row r="1193" spans="1:5">
      <c r="A1193" s="24">
        <v>364</v>
      </c>
      <c r="B1193" s="18" t="s">
        <v>3125</v>
      </c>
      <c r="C1193" s="21" t="s">
        <v>3112</v>
      </c>
      <c r="D1193" s="20"/>
      <c r="E1193" s="20">
        <v>576.62790000000007</v>
      </c>
    </row>
    <row r="1194" spans="1:5">
      <c r="A1194" s="24">
        <v>365</v>
      </c>
      <c r="B1194" s="18" t="s">
        <v>3126</v>
      </c>
      <c r="C1194" s="21" t="s">
        <v>3113</v>
      </c>
      <c r="D1194" s="20"/>
      <c r="E1194" s="20">
        <v>568.81107000000009</v>
      </c>
    </row>
    <row r="1195" spans="1:5">
      <c r="A1195" s="24">
        <v>366</v>
      </c>
      <c r="B1195" s="18" t="s">
        <v>3122</v>
      </c>
      <c r="C1195" s="21" t="s">
        <v>3114</v>
      </c>
      <c r="D1195" s="20"/>
      <c r="E1195" s="20">
        <v>555.21906000000001</v>
      </c>
    </row>
    <row r="1196" spans="1:5" ht="31.5">
      <c r="A1196" s="24">
        <v>367</v>
      </c>
      <c r="B1196" s="18" t="s">
        <v>3140</v>
      </c>
      <c r="C1196" s="21" t="s">
        <v>3115</v>
      </c>
      <c r="D1196" s="20"/>
      <c r="E1196" s="20">
        <v>554.04178999999999</v>
      </c>
    </row>
    <row r="1197" spans="1:5">
      <c r="A1197" s="24">
        <v>368</v>
      </c>
      <c r="B1197" s="18" t="s">
        <v>3132</v>
      </c>
      <c r="C1197" s="21" t="s">
        <v>3116</v>
      </c>
      <c r="D1197" s="20"/>
      <c r="E1197" s="20">
        <v>542.90736000000004</v>
      </c>
    </row>
    <row r="1198" spans="1:5">
      <c r="A1198" s="24">
        <v>369</v>
      </c>
      <c r="B1198" s="18" t="s">
        <v>3127</v>
      </c>
      <c r="C1198" s="21" t="s">
        <v>3117</v>
      </c>
      <c r="D1198" s="20"/>
      <c r="E1198" s="20">
        <v>525.64619999999991</v>
      </c>
    </row>
    <row r="1199" spans="1:5">
      <c r="A1199" s="24">
        <v>370</v>
      </c>
      <c r="B1199" s="18" t="s">
        <v>3144</v>
      </c>
      <c r="C1199" s="21" t="s">
        <v>3118</v>
      </c>
      <c r="D1199" s="20"/>
      <c r="E1199" s="20">
        <v>508.82293999999996</v>
      </c>
    </row>
    <row r="1200" spans="1:5">
      <c r="A1200" s="24">
        <v>371</v>
      </c>
      <c r="B1200" s="18" t="s">
        <v>3141</v>
      </c>
      <c r="C1200" s="21" t="s">
        <v>3119</v>
      </c>
      <c r="D1200" s="20"/>
      <c r="E1200" s="20">
        <v>501.59429999999998</v>
      </c>
    </row>
    <row r="1201" spans="1:5" s="16" customFormat="1">
      <c r="A1201" s="24"/>
      <c r="B1201" s="25" t="s">
        <v>2</v>
      </c>
      <c r="C1201" s="27"/>
      <c r="D1201" s="1">
        <f>SUM(D830:D1200)</f>
        <v>6036039.4313700069</v>
      </c>
      <c r="E1201" s="1">
        <f>SUM(E830:E1200)</f>
        <v>161595.39863000001</v>
      </c>
    </row>
    <row r="1202" spans="1:5" s="16" customFormat="1">
      <c r="A1202" s="4" t="s">
        <v>5</v>
      </c>
      <c r="B1202" s="4"/>
      <c r="C1202" s="4"/>
      <c r="D1202" s="4"/>
      <c r="E1202" s="4"/>
    </row>
    <row r="1203" spans="1:5" s="16" customFormat="1">
      <c r="A1203" s="17">
        <v>1</v>
      </c>
      <c r="B1203" s="18" t="s">
        <v>1217</v>
      </c>
      <c r="C1203" s="19">
        <v>20107197900255</v>
      </c>
      <c r="D1203" s="20">
        <f>1837019336.92/1000</f>
        <v>1837019.3369200001</v>
      </c>
      <c r="E1203" s="20"/>
    </row>
    <row r="1204" spans="1:5" s="16" customFormat="1">
      <c r="A1204" s="17">
        <v>2</v>
      </c>
      <c r="B1204" s="18" t="s">
        <v>1448</v>
      </c>
      <c r="C1204" s="19">
        <v>21512195850000</v>
      </c>
      <c r="D1204" s="20">
        <f>1279868742.56/1000</f>
        <v>1279868.7425599999</v>
      </c>
      <c r="E1204" s="20"/>
    </row>
    <row r="1205" spans="1:5" s="16" customFormat="1">
      <c r="A1205" s="17">
        <v>3</v>
      </c>
      <c r="B1205" s="18" t="s">
        <v>1204</v>
      </c>
      <c r="C1205" s="19">
        <v>22302198201226</v>
      </c>
      <c r="D1205" s="20">
        <f>981003682/1000</f>
        <v>981003.68200000003</v>
      </c>
      <c r="E1205" s="20"/>
    </row>
    <row r="1206" spans="1:5" s="16" customFormat="1">
      <c r="A1206" s="17">
        <v>4</v>
      </c>
      <c r="B1206" s="18" t="s">
        <v>1449</v>
      </c>
      <c r="C1206" s="19">
        <v>20807197000344</v>
      </c>
      <c r="D1206" s="20">
        <f>955875554/1000</f>
        <v>955875.554</v>
      </c>
      <c r="E1206" s="20"/>
    </row>
    <row r="1207" spans="1:5" s="16" customFormat="1">
      <c r="A1207" s="17">
        <v>5</v>
      </c>
      <c r="B1207" s="18" t="s">
        <v>1450</v>
      </c>
      <c r="C1207" s="19" t="s">
        <v>2036</v>
      </c>
      <c r="D1207" s="20">
        <f>622124644/1000</f>
        <v>622124.64399999997</v>
      </c>
      <c r="E1207" s="20"/>
    </row>
    <row r="1208" spans="1:5" s="16" customFormat="1">
      <c r="A1208" s="17">
        <v>6</v>
      </c>
      <c r="B1208" s="18" t="s">
        <v>1451</v>
      </c>
      <c r="C1208" s="19">
        <v>20609199100208</v>
      </c>
      <c r="D1208" s="20">
        <f>555104286/1000</f>
        <v>555104.28599999996</v>
      </c>
      <c r="E1208" s="20"/>
    </row>
    <row r="1209" spans="1:5" s="16" customFormat="1">
      <c r="A1209" s="17">
        <v>7</v>
      </c>
      <c r="B1209" s="29" t="s">
        <v>63</v>
      </c>
      <c r="C1209" s="19" t="s">
        <v>2037</v>
      </c>
      <c r="D1209" s="20">
        <f>425879011.9/1000</f>
        <v>425879.01189999998</v>
      </c>
      <c r="E1209" s="20"/>
    </row>
    <row r="1210" spans="1:5" s="16" customFormat="1">
      <c r="A1210" s="17">
        <v>8</v>
      </c>
      <c r="B1210" s="18" t="s">
        <v>1452</v>
      </c>
      <c r="C1210" s="19">
        <v>21006198800923</v>
      </c>
      <c r="D1210" s="20">
        <f>411741468/1000</f>
        <v>411741.46799999999</v>
      </c>
      <c r="E1210" s="20"/>
    </row>
    <row r="1211" spans="1:5" s="16" customFormat="1">
      <c r="A1211" s="17">
        <v>9</v>
      </c>
      <c r="B1211" s="18" t="s">
        <v>1235</v>
      </c>
      <c r="C1211" s="19" t="s">
        <v>2038</v>
      </c>
      <c r="D1211" s="20">
        <f>401115306.59/1000</f>
        <v>401115.30658999999</v>
      </c>
      <c r="E1211" s="20"/>
    </row>
    <row r="1212" spans="1:5" s="16" customFormat="1">
      <c r="A1212" s="17">
        <v>10</v>
      </c>
      <c r="B1212" s="18" t="s">
        <v>1453</v>
      </c>
      <c r="C1212" s="19" t="s">
        <v>2039</v>
      </c>
      <c r="D1212" s="20">
        <f>310992817.14/1000</f>
        <v>310992.81714</v>
      </c>
      <c r="E1212" s="20"/>
    </row>
    <row r="1213" spans="1:5" s="16" customFormat="1">
      <c r="A1213" s="17">
        <v>11</v>
      </c>
      <c r="B1213" s="18" t="s">
        <v>956</v>
      </c>
      <c r="C1213" s="19" t="s">
        <v>2040</v>
      </c>
      <c r="D1213" s="20">
        <f>283078298.76/1000</f>
        <v>283078.29875999998</v>
      </c>
      <c r="E1213" s="20"/>
    </row>
    <row r="1214" spans="1:5" s="16" customFormat="1">
      <c r="A1214" s="17">
        <v>12</v>
      </c>
      <c r="B1214" s="18" t="s">
        <v>64</v>
      </c>
      <c r="C1214" s="19" t="s">
        <v>2041</v>
      </c>
      <c r="D1214" s="20">
        <f>250213565.16/1000</f>
        <v>250213.56516</v>
      </c>
      <c r="E1214" s="20"/>
    </row>
    <row r="1215" spans="1:5" s="16" customFormat="1">
      <c r="A1215" s="17">
        <v>13</v>
      </c>
      <c r="B1215" s="18" t="s">
        <v>1233</v>
      </c>
      <c r="C1215" s="19" t="s">
        <v>2042</v>
      </c>
      <c r="D1215" s="20">
        <f>219581600.47/1000</f>
        <v>219581.60047</v>
      </c>
      <c r="E1215" s="20"/>
    </row>
    <row r="1216" spans="1:5" s="16" customFormat="1">
      <c r="A1216" s="17">
        <v>14</v>
      </c>
      <c r="B1216" s="18" t="s">
        <v>1284</v>
      </c>
      <c r="C1216" s="19" t="s">
        <v>2043</v>
      </c>
      <c r="D1216" s="20">
        <f>175508864/1000</f>
        <v>175508.864</v>
      </c>
      <c r="E1216" s="20"/>
    </row>
    <row r="1217" spans="1:5" s="16" customFormat="1">
      <c r="A1217" s="17">
        <v>15</v>
      </c>
      <c r="B1217" s="18" t="s">
        <v>1205</v>
      </c>
      <c r="C1217" s="19">
        <v>22210198301162</v>
      </c>
      <c r="D1217" s="20">
        <f>159684796/1000</f>
        <v>159684.796</v>
      </c>
      <c r="E1217" s="20"/>
    </row>
    <row r="1218" spans="1:5" s="16" customFormat="1">
      <c r="A1218" s="17">
        <v>16</v>
      </c>
      <c r="B1218" s="18" t="s">
        <v>1005</v>
      </c>
      <c r="C1218" s="19" t="s">
        <v>2044</v>
      </c>
      <c r="D1218" s="20">
        <f>148058381.86/1000</f>
        <v>148058.38186000002</v>
      </c>
      <c r="E1218" s="20"/>
    </row>
    <row r="1219" spans="1:5" s="16" customFormat="1">
      <c r="A1219" s="17">
        <v>17</v>
      </c>
      <c r="B1219" s="18" t="s">
        <v>1454</v>
      </c>
      <c r="C1219" s="19" t="s">
        <v>2045</v>
      </c>
      <c r="D1219" s="20">
        <f>142885884/1000</f>
        <v>142885.88399999999</v>
      </c>
      <c r="E1219" s="20"/>
    </row>
    <row r="1220" spans="1:5" s="16" customFormat="1">
      <c r="A1220" s="17">
        <v>18</v>
      </c>
      <c r="B1220" s="18" t="s">
        <v>65</v>
      </c>
      <c r="C1220" s="19" t="s">
        <v>2046</v>
      </c>
      <c r="D1220" s="20">
        <f>141087209.74/1000</f>
        <v>141087.20974000002</v>
      </c>
      <c r="E1220" s="20"/>
    </row>
    <row r="1221" spans="1:5" s="16" customFormat="1">
      <c r="A1221" s="17">
        <v>19</v>
      </c>
      <c r="B1221" s="18" t="s">
        <v>1733</v>
      </c>
      <c r="C1221" s="19" t="s">
        <v>2047</v>
      </c>
      <c r="D1221" s="20">
        <f>119746035.43/1000</f>
        <v>119746.03543</v>
      </c>
      <c r="E1221" s="20"/>
    </row>
    <row r="1222" spans="1:5" s="16" customFormat="1">
      <c r="A1222" s="17">
        <v>20</v>
      </c>
      <c r="B1222" s="18" t="s">
        <v>1180</v>
      </c>
      <c r="C1222" s="19" t="s">
        <v>2049</v>
      </c>
      <c r="D1222" s="20">
        <f>115925218.19/1000</f>
        <v>115925.21819</v>
      </c>
      <c r="E1222" s="20"/>
    </row>
    <row r="1223" spans="1:5" s="16" customFormat="1">
      <c r="A1223" s="17">
        <v>21</v>
      </c>
      <c r="B1223" s="18" t="s">
        <v>530</v>
      </c>
      <c r="C1223" s="19" t="s">
        <v>2050</v>
      </c>
      <c r="D1223" s="20">
        <f>108362667.87/1000</f>
        <v>108362.66787</v>
      </c>
      <c r="E1223" s="20"/>
    </row>
    <row r="1224" spans="1:5" s="16" customFormat="1">
      <c r="A1224" s="17">
        <v>22</v>
      </c>
      <c r="B1224" s="18" t="s">
        <v>1290</v>
      </c>
      <c r="C1224" s="19" t="s">
        <v>2051</v>
      </c>
      <c r="D1224" s="20">
        <f>96039474/1000</f>
        <v>96039.474000000002</v>
      </c>
      <c r="E1224" s="20"/>
    </row>
    <row r="1225" spans="1:5" s="16" customFormat="1">
      <c r="A1225" s="17">
        <v>23</v>
      </c>
      <c r="B1225" s="18" t="s">
        <v>1286</v>
      </c>
      <c r="C1225" s="19" t="s">
        <v>2052</v>
      </c>
      <c r="D1225" s="20">
        <f>91049679.6/1000</f>
        <v>91049.679599999989</v>
      </c>
      <c r="E1225" s="20"/>
    </row>
    <row r="1226" spans="1:5" s="16" customFormat="1">
      <c r="A1226" s="17">
        <v>24</v>
      </c>
      <c r="B1226" s="18" t="s">
        <v>1734</v>
      </c>
      <c r="C1226" s="19" t="s">
        <v>2054</v>
      </c>
      <c r="D1226" s="20">
        <f>91040454.7/1000</f>
        <v>91040.454700000002</v>
      </c>
      <c r="E1226" s="20"/>
    </row>
    <row r="1227" spans="1:5" s="16" customFormat="1">
      <c r="A1227" s="17">
        <v>25</v>
      </c>
      <c r="B1227" s="18" t="s">
        <v>2289</v>
      </c>
      <c r="C1227" s="19" t="s">
        <v>2053</v>
      </c>
      <c r="D1227" s="20">
        <f>89427786/1000</f>
        <v>89427.785999999993</v>
      </c>
      <c r="E1227" s="20"/>
    </row>
    <row r="1228" spans="1:5" s="16" customFormat="1">
      <c r="A1228" s="17">
        <v>26</v>
      </c>
      <c r="B1228" s="30" t="s">
        <v>1882</v>
      </c>
      <c r="C1228" s="19" t="s">
        <v>2055</v>
      </c>
      <c r="D1228" s="20">
        <f>89082688.02/1000</f>
        <v>89082.688020000001</v>
      </c>
      <c r="E1228" s="20"/>
    </row>
    <row r="1229" spans="1:5" s="16" customFormat="1">
      <c r="A1229" s="17">
        <v>27</v>
      </c>
      <c r="B1229" s="31" t="s">
        <v>1013</v>
      </c>
      <c r="C1229" s="32">
        <v>22806198901173</v>
      </c>
      <c r="D1229" s="33">
        <f>86649612.37/1000</f>
        <v>86649.612370000003</v>
      </c>
      <c r="E1229" s="20"/>
    </row>
    <row r="1230" spans="1:5" s="16" customFormat="1">
      <c r="A1230" s="17">
        <v>28</v>
      </c>
      <c r="B1230" s="18" t="s">
        <v>1011</v>
      </c>
      <c r="C1230" s="19">
        <v>22001198201789</v>
      </c>
      <c r="D1230" s="20">
        <f>86583536/1000</f>
        <v>86583.535999999993</v>
      </c>
      <c r="E1230" s="20"/>
    </row>
    <row r="1231" spans="1:5" s="16" customFormat="1">
      <c r="A1231" s="17">
        <v>29</v>
      </c>
      <c r="B1231" s="18" t="s">
        <v>1239</v>
      </c>
      <c r="C1231" s="19" t="s">
        <v>2056</v>
      </c>
      <c r="D1231" s="20">
        <f>84807020.38/1000</f>
        <v>84807.020380000002</v>
      </c>
      <c r="E1231" s="20"/>
    </row>
    <row r="1232" spans="1:5" s="16" customFormat="1">
      <c r="A1232" s="17">
        <v>30</v>
      </c>
      <c r="B1232" s="18" t="s">
        <v>997</v>
      </c>
      <c r="C1232" s="19" t="s">
        <v>2057</v>
      </c>
      <c r="D1232" s="20">
        <f>77237410.51/1000</f>
        <v>77237.410510000002</v>
      </c>
      <c r="E1232" s="20"/>
    </row>
    <row r="1233" spans="1:5" s="16" customFormat="1">
      <c r="A1233" s="17">
        <v>31</v>
      </c>
      <c r="B1233" s="18" t="s">
        <v>1010</v>
      </c>
      <c r="C1233" s="19">
        <v>20601197901287</v>
      </c>
      <c r="D1233" s="20">
        <f>76021332/1000</f>
        <v>76021.331999999995</v>
      </c>
      <c r="E1233" s="20"/>
    </row>
    <row r="1234" spans="1:5" s="16" customFormat="1">
      <c r="A1234" s="17">
        <v>32</v>
      </c>
      <c r="B1234" s="18" t="s">
        <v>1247</v>
      </c>
      <c r="C1234" s="19" t="s">
        <v>2058</v>
      </c>
      <c r="D1234" s="20">
        <f>71198688/1000</f>
        <v>71198.687999999995</v>
      </c>
      <c r="E1234" s="20"/>
    </row>
    <row r="1235" spans="1:5" s="16" customFormat="1">
      <c r="A1235" s="17">
        <v>33</v>
      </c>
      <c r="B1235" s="18" t="s">
        <v>2267</v>
      </c>
      <c r="C1235" s="19" t="s">
        <v>2048</v>
      </c>
      <c r="D1235" s="20">
        <f>70454702.38/1000</f>
        <v>70454.702380000002</v>
      </c>
      <c r="E1235" s="20"/>
    </row>
    <row r="1236" spans="1:5" s="16" customFormat="1">
      <c r="A1236" s="17">
        <v>34</v>
      </c>
      <c r="B1236" s="18" t="s">
        <v>2529</v>
      </c>
      <c r="C1236" s="19" t="s">
        <v>2059</v>
      </c>
      <c r="D1236" s="20">
        <f>68969023.85/1000</f>
        <v>68969.023849999998</v>
      </c>
      <c r="E1236" s="20"/>
    </row>
    <row r="1237" spans="1:5" s="16" customFormat="1">
      <c r="A1237" s="17">
        <v>35</v>
      </c>
      <c r="B1237" s="18" t="s">
        <v>2530</v>
      </c>
      <c r="C1237" s="19" t="s">
        <v>2060</v>
      </c>
      <c r="D1237" s="20">
        <f>62256531/1000</f>
        <v>62256.531000000003</v>
      </c>
      <c r="E1237" s="20"/>
    </row>
    <row r="1238" spans="1:5" s="16" customFormat="1">
      <c r="A1238" s="17">
        <v>36</v>
      </c>
      <c r="B1238" s="18" t="s">
        <v>1197</v>
      </c>
      <c r="C1238" s="19">
        <v>20804198401294</v>
      </c>
      <c r="D1238" s="20">
        <f>64231120/1000</f>
        <v>64231.12</v>
      </c>
      <c r="E1238" s="20"/>
    </row>
    <row r="1239" spans="1:5" s="16" customFormat="1">
      <c r="A1239" s="17">
        <v>37</v>
      </c>
      <c r="B1239" s="18" t="s">
        <v>1209</v>
      </c>
      <c r="C1239" s="19">
        <v>21802198201366</v>
      </c>
      <c r="D1239" s="20">
        <f>61349288.5/1000</f>
        <v>61349.288500000002</v>
      </c>
      <c r="E1239" s="20"/>
    </row>
    <row r="1240" spans="1:5" s="16" customFormat="1">
      <c r="A1240" s="17">
        <v>38</v>
      </c>
      <c r="B1240" s="18" t="s">
        <v>1222</v>
      </c>
      <c r="C1240" s="19" t="s">
        <v>2061</v>
      </c>
      <c r="D1240" s="20">
        <f>57307821.66/1000</f>
        <v>57307.821659999994</v>
      </c>
      <c r="E1240" s="20"/>
    </row>
    <row r="1241" spans="1:5" s="16" customFormat="1">
      <c r="A1241" s="17">
        <v>39</v>
      </c>
      <c r="B1241" s="18" t="s">
        <v>765</v>
      </c>
      <c r="C1241" s="19" t="s">
        <v>2062</v>
      </c>
      <c r="D1241" s="20">
        <f>66677482.77/1000</f>
        <v>66677.482770000002</v>
      </c>
      <c r="E1241" s="20"/>
    </row>
    <row r="1242" spans="1:5" s="16" customFormat="1">
      <c r="A1242" s="17">
        <v>40</v>
      </c>
      <c r="B1242" s="18" t="s">
        <v>2532</v>
      </c>
      <c r="C1242" s="19" t="s">
        <v>2063</v>
      </c>
      <c r="D1242" s="20">
        <f>54305865.11/1000</f>
        <v>54305.865109999999</v>
      </c>
      <c r="E1242" s="20"/>
    </row>
    <row r="1243" spans="1:5" s="16" customFormat="1">
      <c r="A1243" s="17">
        <v>41</v>
      </c>
      <c r="B1243" s="18" t="s">
        <v>2531</v>
      </c>
      <c r="C1243" s="19" t="s">
        <v>2503</v>
      </c>
      <c r="D1243" s="20">
        <f>52425571.86/1000</f>
        <v>52425.571859999996</v>
      </c>
      <c r="E1243" s="20"/>
    </row>
    <row r="1244" spans="1:5" s="16" customFormat="1">
      <c r="A1244" s="17">
        <v>42</v>
      </c>
      <c r="B1244" s="18" t="s">
        <v>1009</v>
      </c>
      <c r="C1244" s="19">
        <v>20308199502144</v>
      </c>
      <c r="D1244" s="20">
        <f>51922044.2/1000</f>
        <v>51922.044200000004</v>
      </c>
      <c r="E1244" s="20"/>
    </row>
    <row r="1245" spans="1:5" s="16" customFormat="1">
      <c r="A1245" s="17">
        <v>43</v>
      </c>
      <c r="B1245" s="18" t="s">
        <v>1199</v>
      </c>
      <c r="C1245" s="19" t="s">
        <v>2064</v>
      </c>
      <c r="D1245" s="20">
        <f>52304502.56/1000</f>
        <v>52304.502560000001</v>
      </c>
      <c r="E1245" s="20"/>
    </row>
    <row r="1246" spans="1:5" s="16" customFormat="1">
      <c r="A1246" s="17">
        <v>44</v>
      </c>
      <c r="B1246" s="18" t="s">
        <v>1455</v>
      </c>
      <c r="C1246" s="19">
        <v>22406199101275</v>
      </c>
      <c r="D1246" s="20">
        <f>98864236/1000</f>
        <v>98864.236000000004</v>
      </c>
      <c r="E1246" s="20"/>
    </row>
    <row r="1247" spans="1:5" s="16" customFormat="1">
      <c r="A1247" s="17">
        <v>45</v>
      </c>
      <c r="B1247" s="18" t="s">
        <v>66</v>
      </c>
      <c r="C1247" s="19" t="s">
        <v>2065</v>
      </c>
      <c r="D1247" s="20">
        <f>46608881.8/1000</f>
        <v>46608.881799999996</v>
      </c>
      <c r="E1247" s="20"/>
    </row>
    <row r="1248" spans="1:5" s="16" customFormat="1">
      <c r="A1248" s="17">
        <v>46</v>
      </c>
      <c r="B1248" s="18" t="s">
        <v>1456</v>
      </c>
      <c r="C1248" s="19">
        <v>20702198100779</v>
      </c>
      <c r="D1248" s="20">
        <f>45343268/1000</f>
        <v>45343.267999999996</v>
      </c>
      <c r="E1248" s="20"/>
    </row>
    <row r="1249" spans="1:5" s="16" customFormat="1">
      <c r="A1249" s="17">
        <v>47</v>
      </c>
      <c r="B1249" s="18" t="s">
        <v>1237</v>
      </c>
      <c r="C1249" s="19" t="s">
        <v>2066</v>
      </c>
      <c r="D1249" s="20">
        <f>44005024/1000</f>
        <v>44005.023999999998</v>
      </c>
      <c r="E1249" s="20"/>
    </row>
    <row r="1250" spans="1:5" s="16" customFormat="1">
      <c r="A1250" s="17">
        <v>48</v>
      </c>
      <c r="B1250" s="18" t="s">
        <v>1218</v>
      </c>
      <c r="C1250" s="19">
        <v>20101196600648</v>
      </c>
      <c r="D1250" s="20">
        <f>39043200/1000</f>
        <v>39043.199999999997</v>
      </c>
      <c r="E1250" s="20"/>
    </row>
    <row r="1251" spans="1:5" s="16" customFormat="1">
      <c r="A1251" s="17">
        <v>49</v>
      </c>
      <c r="B1251" s="18" t="s">
        <v>1457</v>
      </c>
      <c r="C1251" s="19">
        <v>21901199201045</v>
      </c>
      <c r="D1251" s="20">
        <f>35931092/1000</f>
        <v>35931.091999999997</v>
      </c>
      <c r="E1251" s="20"/>
    </row>
    <row r="1252" spans="1:5" s="16" customFormat="1">
      <c r="A1252" s="17">
        <v>50</v>
      </c>
      <c r="B1252" s="18" t="s">
        <v>1273</v>
      </c>
      <c r="C1252" s="19" t="s">
        <v>2067</v>
      </c>
      <c r="D1252" s="20">
        <f>33559781.14/1000</f>
        <v>33559.781139999999</v>
      </c>
      <c r="E1252" s="20"/>
    </row>
    <row r="1253" spans="1:5" s="16" customFormat="1">
      <c r="A1253" s="17">
        <v>51</v>
      </c>
      <c r="B1253" s="18" t="s">
        <v>1458</v>
      </c>
      <c r="C1253" s="19">
        <v>20412197701081</v>
      </c>
      <c r="D1253" s="20">
        <f>32206456/1000</f>
        <v>32206.455999999998</v>
      </c>
      <c r="E1253" s="20"/>
    </row>
    <row r="1254" spans="1:5" s="16" customFormat="1">
      <c r="A1254" s="17">
        <v>52</v>
      </c>
      <c r="B1254" s="18" t="s">
        <v>1459</v>
      </c>
      <c r="C1254" s="19">
        <v>22706198500987</v>
      </c>
      <c r="D1254" s="20">
        <f>30840562/1000</f>
        <v>30840.562000000002</v>
      </c>
      <c r="E1254" s="20"/>
    </row>
    <row r="1255" spans="1:5" s="16" customFormat="1">
      <c r="A1255" s="17">
        <v>53</v>
      </c>
      <c r="B1255" s="18" t="s">
        <v>1195</v>
      </c>
      <c r="C1255" s="19" t="s">
        <v>2069</v>
      </c>
      <c r="D1255" s="20">
        <f>30198982.61/1000</f>
        <v>30198.982609999999</v>
      </c>
      <c r="E1255" s="20"/>
    </row>
    <row r="1256" spans="1:5" s="16" customFormat="1">
      <c r="A1256" s="17">
        <v>54</v>
      </c>
      <c r="B1256" s="18" t="s">
        <v>1225</v>
      </c>
      <c r="C1256" s="19" t="s">
        <v>2068</v>
      </c>
      <c r="D1256" s="20">
        <f>30091152/1000</f>
        <v>30091.151999999998</v>
      </c>
      <c r="E1256" s="20"/>
    </row>
    <row r="1257" spans="1:5" s="16" customFormat="1">
      <c r="A1257" s="17">
        <v>55</v>
      </c>
      <c r="B1257" s="18" t="s">
        <v>1253</v>
      </c>
      <c r="C1257" s="19" t="s">
        <v>2070</v>
      </c>
      <c r="D1257" s="20">
        <f>29859385.95/1000</f>
        <v>29859.38595</v>
      </c>
      <c r="E1257" s="20"/>
    </row>
    <row r="1258" spans="1:5" s="16" customFormat="1">
      <c r="A1258" s="17">
        <v>56</v>
      </c>
      <c r="B1258" s="18" t="s">
        <v>957</v>
      </c>
      <c r="C1258" s="19" t="s">
        <v>2071</v>
      </c>
      <c r="D1258" s="20">
        <f>28498155.08/1000</f>
        <v>28498.155079999997</v>
      </c>
      <c r="E1258" s="20"/>
    </row>
    <row r="1259" spans="1:5" s="16" customFormat="1">
      <c r="A1259" s="17">
        <v>57</v>
      </c>
      <c r="B1259" s="18" t="s">
        <v>1460</v>
      </c>
      <c r="C1259" s="19" t="s">
        <v>2072</v>
      </c>
      <c r="D1259" s="20">
        <f>28480913.98/1000</f>
        <v>28480.913980000001</v>
      </c>
      <c r="E1259" s="20"/>
    </row>
    <row r="1260" spans="1:5" s="16" customFormat="1">
      <c r="A1260" s="17">
        <v>58</v>
      </c>
      <c r="B1260" s="18" t="s">
        <v>1229</v>
      </c>
      <c r="C1260" s="19" t="s">
        <v>2073</v>
      </c>
      <c r="D1260" s="20">
        <f>26997228/1000</f>
        <v>26997.227999999999</v>
      </c>
      <c r="E1260" s="20"/>
    </row>
    <row r="1261" spans="1:5" s="16" customFormat="1">
      <c r="A1261" s="17">
        <v>59</v>
      </c>
      <c r="B1261" s="18" t="s">
        <v>1238</v>
      </c>
      <c r="C1261" s="19" t="s">
        <v>2074</v>
      </c>
      <c r="D1261" s="20">
        <f>26384064/1000</f>
        <v>26384.063999999998</v>
      </c>
      <c r="E1261" s="20"/>
    </row>
    <row r="1262" spans="1:5" s="16" customFormat="1">
      <c r="A1262" s="17">
        <v>60</v>
      </c>
      <c r="B1262" s="18" t="s">
        <v>1462</v>
      </c>
      <c r="C1262" s="19" t="s">
        <v>2076</v>
      </c>
      <c r="D1262" s="20">
        <f>26314619.78/1000</f>
        <v>26314.619780000001</v>
      </c>
      <c r="E1262" s="20"/>
    </row>
    <row r="1263" spans="1:5" s="16" customFormat="1">
      <c r="A1263" s="17">
        <v>61</v>
      </c>
      <c r="B1263" s="18" t="s">
        <v>1231</v>
      </c>
      <c r="C1263" s="19" t="s">
        <v>2075</v>
      </c>
      <c r="D1263" s="20">
        <f>25761302/1000</f>
        <v>25761.302</v>
      </c>
      <c r="E1263" s="20"/>
    </row>
    <row r="1264" spans="1:5" s="16" customFormat="1">
      <c r="A1264" s="17">
        <v>62</v>
      </c>
      <c r="B1264" s="18" t="s">
        <v>1282</v>
      </c>
      <c r="C1264" s="19" t="s">
        <v>2077</v>
      </c>
      <c r="D1264" s="20">
        <f>25135388/1000</f>
        <v>25135.387999999999</v>
      </c>
      <c r="E1264" s="20"/>
    </row>
    <row r="1265" spans="1:5" s="16" customFormat="1">
      <c r="A1265" s="17">
        <v>63</v>
      </c>
      <c r="B1265" s="18" t="s">
        <v>1461</v>
      </c>
      <c r="C1265" s="19" t="s">
        <v>2078</v>
      </c>
      <c r="D1265" s="20">
        <f>24569170/1000</f>
        <v>24569.17</v>
      </c>
      <c r="E1265" s="20"/>
    </row>
    <row r="1266" spans="1:5" s="16" customFormat="1">
      <c r="A1266" s="17">
        <v>64</v>
      </c>
      <c r="B1266" s="18" t="s">
        <v>1288</v>
      </c>
      <c r="C1266" s="19" t="s">
        <v>2079</v>
      </c>
      <c r="D1266" s="20">
        <f>25058106.84/1000</f>
        <v>25058.10684</v>
      </c>
      <c r="E1266" s="20"/>
    </row>
    <row r="1267" spans="1:5" s="16" customFormat="1">
      <c r="A1267" s="17">
        <v>65</v>
      </c>
      <c r="B1267" s="18" t="s">
        <v>1190</v>
      </c>
      <c r="C1267" s="19" t="s">
        <v>2081</v>
      </c>
      <c r="D1267" s="20">
        <f>22299308.76/1000</f>
        <v>22299.30876</v>
      </c>
      <c r="E1267" s="20"/>
    </row>
    <row r="1268" spans="1:5" s="16" customFormat="1">
      <c r="A1268" s="17">
        <v>66</v>
      </c>
      <c r="B1268" s="18" t="s">
        <v>1224</v>
      </c>
      <c r="C1268" s="19" t="s">
        <v>2080</v>
      </c>
      <c r="D1268" s="20">
        <f>22134671.18/1000</f>
        <v>22134.671180000001</v>
      </c>
      <c r="E1268" s="20"/>
    </row>
    <row r="1269" spans="1:5" s="16" customFormat="1">
      <c r="A1269" s="17">
        <v>67</v>
      </c>
      <c r="B1269" s="18" t="s">
        <v>68</v>
      </c>
      <c r="C1269" s="19" t="s">
        <v>2082</v>
      </c>
      <c r="D1269" s="20">
        <f>22132524.72/1000</f>
        <v>22132.524719999998</v>
      </c>
      <c r="E1269" s="20"/>
    </row>
    <row r="1270" spans="1:5" s="16" customFormat="1">
      <c r="A1270" s="17">
        <v>68</v>
      </c>
      <c r="B1270" s="18" t="s">
        <v>1232</v>
      </c>
      <c r="C1270" s="19" t="s">
        <v>2083</v>
      </c>
      <c r="D1270" s="20">
        <f>20644618/1000</f>
        <v>20644.617999999999</v>
      </c>
      <c r="E1270" s="20"/>
    </row>
    <row r="1271" spans="1:5" s="16" customFormat="1">
      <c r="A1271" s="17">
        <v>69</v>
      </c>
      <c r="B1271" s="18" t="s">
        <v>1181</v>
      </c>
      <c r="C1271" s="19" t="s">
        <v>2085</v>
      </c>
      <c r="D1271" s="20">
        <f>20064267.92/1000</f>
        <v>20064.267920000002</v>
      </c>
      <c r="E1271" s="20"/>
    </row>
    <row r="1272" spans="1:5" s="16" customFormat="1">
      <c r="A1272" s="17">
        <v>70</v>
      </c>
      <c r="B1272" s="18" t="s">
        <v>1463</v>
      </c>
      <c r="C1272" s="19">
        <v>20204199600205</v>
      </c>
      <c r="D1272" s="20">
        <f>19915834/1000</f>
        <v>19915.833999999999</v>
      </c>
      <c r="E1272" s="20"/>
    </row>
    <row r="1273" spans="1:5" s="16" customFormat="1">
      <c r="A1273" s="17">
        <v>71</v>
      </c>
      <c r="B1273" s="18" t="s">
        <v>1883</v>
      </c>
      <c r="C1273" s="19" t="s">
        <v>2086</v>
      </c>
      <c r="D1273" s="20">
        <f>19851358.77/1000</f>
        <v>19851.358769999999</v>
      </c>
      <c r="E1273" s="20"/>
    </row>
    <row r="1274" spans="1:5" s="16" customFormat="1">
      <c r="A1274" s="17">
        <v>72</v>
      </c>
      <c r="B1274" s="18" t="s">
        <v>67</v>
      </c>
      <c r="C1274" s="19" t="s">
        <v>2084</v>
      </c>
      <c r="D1274" s="20">
        <f>19799371.36/1000</f>
        <v>19799.371360000001</v>
      </c>
      <c r="E1274" s="20"/>
    </row>
    <row r="1275" spans="1:5" s="16" customFormat="1">
      <c r="A1275" s="17">
        <v>73</v>
      </c>
      <c r="B1275" s="18" t="s">
        <v>1464</v>
      </c>
      <c r="C1275" s="19">
        <v>22805198700285</v>
      </c>
      <c r="D1275" s="20">
        <f>19418156/1000</f>
        <v>19418.155999999999</v>
      </c>
      <c r="E1275" s="20"/>
    </row>
    <row r="1276" spans="1:5" s="16" customFormat="1">
      <c r="A1276" s="17">
        <v>74</v>
      </c>
      <c r="B1276" s="18" t="s">
        <v>1187</v>
      </c>
      <c r="C1276" s="19" t="s">
        <v>2088</v>
      </c>
      <c r="D1276" s="20">
        <f>18381165.33/1000</f>
        <v>18381.16533</v>
      </c>
      <c r="E1276" s="20"/>
    </row>
    <row r="1277" spans="1:5" s="16" customFormat="1">
      <c r="A1277" s="17">
        <v>75</v>
      </c>
      <c r="B1277" s="18" t="s">
        <v>654</v>
      </c>
      <c r="C1277" s="19" t="s">
        <v>2087</v>
      </c>
      <c r="D1277" s="20">
        <f>19069096.81/1000</f>
        <v>19069.096809999999</v>
      </c>
      <c r="E1277" s="20"/>
    </row>
    <row r="1278" spans="1:5" s="16" customFormat="1">
      <c r="A1278" s="17">
        <v>76</v>
      </c>
      <c r="B1278" s="18" t="s">
        <v>1527</v>
      </c>
      <c r="C1278" s="19" t="s">
        <v>2089</v>
      </c>
      <c r="D1278" s="20">
        <f>17482474/1000</f>
        <v>17482.473999999998</v>
      </c>
      <c r="E1278" s="20"/>
    </row>
    <row r="1279" spans="1:5" s="16" customFormat="1">
      <c r="A1279" s="17">
        <v>77</v>
      </c>
      <c r="B1279" s="18" t="s">
        <v>1465</v>
      </c>
      <c r="C1279" s="19">
        <v>22507199300053</v>
      </c>
      <c r="D1279" s="20">
        <f>17606401.6/1000</f>
        <v>17606.401600000001</v>
      </c>
      <c r="E1279" s="20"/>
    </row>
    <row r="1280" spans="1:5" s="16" customFormat="1">
      <c r="A1280" s="17">
        <v>78</v>
      </c>
      <c r="B1280" s="18" t="s">
        <v>1194</v>
      </c>
      <c r="C1280" s="19" t="s">
        <v>2092</v>
      </c>
      <c r="D1280" s="20">
        <f>16480783.67/1000</f>
        <v>16480.783670000001</v>
      </c>
      <c r="E1280" s="20"/>
    </row>
    <row r="1281" spans="1:5" s="16" customFormat="1">
      <c r="A1281" s="17">
        <v>79</v>
      </c>
      <c r="B1281" s="18" t="s">
        <v>1258</v>
      </c>
      <c r="C1281" s="19" t="s">
        <v>2090</v>
      </c>
      <c r="D1281" s="20">
        <f>16432304.52/1000</f>
        <v>16432.304519999998</v>
      </c>
      <c r="E1281" s="20"/>
    </row>
    <row r="1282" spans="1:5" s="16" customFormat="1">
      <c r="A1282" s="17">
        <v>80</v>
      </c>
      <c r="B1282" s="18" t="s">
        <v>1884</v>
      </c>
      <c r="C1282" s="19" t="s">
        <v>2091</v>
      </c>
      <c r="D1282" s="20">
        <f>16384478.72/1000</f>
        <v>16384.478719999999</v>
      </c>
      <c r="E1282" s="20"/>
    </row>
    <row r="1283" spans="1:5" s="16" customFormat="1">
      <c r="A1283" s="17">
        <v>81</v>
      </c>
      <c r="B1283" s="18" t="s">
        <v>1735</v>
      </c>
      <c r="C1283" s="19" t="s">
        <v>2093</v>
      </c>
      <c r="D1283" s="20">
        <f>15968394.83/1000</f>
        <v>15968.394829999999</v>
      </c>
      <c r="E1283" s="20"/>
    </row>
    <row r="1284" spans="1:5" s="16" customFormat="1">
      <c r="A1284" s="17">
        <v>82</v>
      </c>
      <c r="B1284" s="18" t="s">
        <v>1262</v>
      </c>
      <c r="C1284" s="19" t="s">
        <v>2094</v>
      </c>
      <c r="D1284" s="20">
        <f>15644313.15/1000</f>
        <v>15644.31315</v>
      </c>
      <c r="E1284" s="20"/>
    </row>
    <row r="1285" spans="1:5" s="16" customFormat="1">
      <c r="A1285" s="17">
        <v>83</v>
      </c>
      <c r="B1285" s="18" t="s">
        <v>1736</v>
      </c>
      <c r="C1285" s="19" t="s">
        <v>2095</v>
      </c>
      <c r="D1285" s="20">
        <f>15292780.76/1000</f>
        <v>15292.78076</v>
      </c>
      <c r="E1285" s="20"/>
    </row>
    <row r="1286" spans="1:5" s="16" customFormat="1">
      <c r="A1286" s="17">
        <v>84</v>
      </c>
      <c r="B1286" s="18" t="s">
        <v>1466</v>
      </c>
      <c r="C1286" s="19">
        <v>22408197300187</v>
      </c>
      <c r="D1286" s="20">
        <f>15151269/1000</f>
        <v>15151.269</v>
      </c>
      <c r="E1286" s="20"/>
    </row>
    <row r="1287" spans="1:5" s="16" customFormat="1">
      <c r="A1287" s="17">
        <v>85</v>
      </c>
      <c r="B1287" s="18" t="s">
        <v>1292</v>
      </c>
      <c r="C1287" s="19" t="s">
        <v>2096</v>
      </c>
      <c r="D1287" s="20">
        <f>14327134.42/1000</f>
        <v>14327.13442</v>
      </c>
      <c r="E1287" s="20"/>
    </row>
    <row r="1288" spans="1:5" s="16" customFormat="1">
      <c r="A1288" s="17">
        <v>86</v>
      </c>
      <c r="B1288" s="18" t="s">
        <v>1250</v>
      </c>
      <c r="C1288" s="19" t="s">
        <v>2097</v>
      </c>
      <c r="D1288" s="20">
        <f>13692180.51/1000</f>
        <v>13692.18051</v>
      </c>
      <c r="E1288" s="20"/>
    </row>
    <row r="1289" spans="1:5" s="16" customFormat="1">
      <c r="A1289" s="17">
        <v>87</v>
      </c>
      <c r="B1289" s="18" t="s">
        <v>1236</v>
      </c>
      <c r="C1289" s="19" t="s">
        <v>2098</v>
      </c>
      <c r="D1289" s="20">
        <f>15866630/1000</f>
        <v>15866.63</v>
      </c>
      <c r="E1289" s="20"/>
    </row>
    <row r="1290" spans="1:5" s="16" customFormat="1">
      <c r="A1290" s="17">
        <v>88</v>
      </c>
      <c r="B1290" s="18" t="s">
        <v>531</v>
      </c>
      <c r="C1290" s="19" t="s">
        <v>2099</v>
      </c>
      <c r="D1290" s="20">
        <f>12263793.04/1000</f>
        <v>12263.793039999999</v>
      </c>
      <c r="E1290" s="20"/>
    </row>
    <row r="1291" spans="1:5" s="16" customFormat="1">
      <c r="A1291" s="17">
        <v>89</v>
      </c>
      <c r="B1291" s="18" t="s">
        <v>2269</v>
      </c>
      <c r="C1291" s="19" t="s">
        <v>2100</v>
      </c>
      <c r="D1291" s="20">
        <f>11789790.14/1000</f>
        <v>11789.790140000001</v>
      </c>
      <c r="E1291" s="20"/>
    </row>
    <row r="1292" spans="1:5" s="16" customFormat="1">
      <c r="A1292" s="17">
        <v>90</v>
      </c>
      <c r="B1292" s="18" t="s">
        <v>1740</v>
      </c>
      <c r="C1292" s="19" t="s">
        <v>2111</v>
      </c>
      <c r="D1292" s="20">
        <f>11664306.88/1000</f>
        <v>11664.30688</v>
      </c>
      <c r="E1292" s="20"/>
    </row>
    <row r="1293" spans="1:5" s="16" customFormat="1">
      <c r="A1293" s="17">
        <v>91</v>
      </c>
      <c r="B1293" s="18" t="s">
        <v>559</v>
      </c>
      <c r="C1293" s="19" t="s">
        <v>2101</v>
      </c>
      <c r="D1293" s="20">
        <f>11293148.91/1000</f>
        <v>11293.14891</v>
      </c>
      <c r="E1293" s="20"/>
    </row>
    <row r="1294" spans="1:5" s="16" customFormat="1">
      <c r="A1294" s="17">
        <v>92</v>
      </c>
      <c r="B1294" s="18" t="s">
        <v>1270</v>
      </c>
      <c r="C1294" s="19" t="s">
        <v>2102</v>
      </c>
      <c r="D1294" s="20">
        <f>10941583.5/1000</f>
        <v>10941.583500000001</v>
      </c>
      <c r="E1294" s="20"/>
    </row>
    <row r="1295" spans="1:5" s="16" customFormat="1">
      <c r="A1295" s="17">
        <v>93</v>
      </c>
      <c r="B1295" s="18" t="s">
        <v>1467</v>
      </c>
      <c r="C1295" s="19">
        <v>21403198901950</v>
      </c>
      <c r="D1295" s="20">
        <f>10127670/1000</f>
        <v>10127.67</v>
      </c>
      <c r="E1295" s="20"/>
    </row>
    <row r="1296" spans="1:5" s="16" customFormat="1">
      <c r="A1296" s="17">
        <v>94</v>
      </c>
      <c r="B1296" s="18" t="s">
        <v>1468</v>
      </c>
      <c r="C1296" s="19" t="s">
        <v>2103</v>
      </c>
      <c r="D1296" s="20">
        <f>10058235.2/1000</f>
        <v>10058.235199999999</v>
      </c>
      <c r="E1296" s="20"/>
    </row>
    <row r="1297" spans="1:5" s="16" customFormat="1">
      <c r="A1297" s="17">
        <v>95</v>
      </c>
      <c r="B1297" s="18" t="s">
        <v>2533</v>
      </c>
      <c r="C1297" s="19" t="s">
        <v>2104</v>
      </c>
      <c r="D1297" s="20">
        <f>10110564.08/1000</f>
        <v>10110.56408</v>
      </c>
      <c r="E1297" s="20"/>
    </row>
    <row r="1298" spans="1:5" s="16" customFormat="1">
      <c r="A1298" s="17">
        <v>96</v>
      </c>
      <c r="B1298" s="18" t="s">
        <v>1469</v>
      </c>
      <c r="C1298" s="19">
        <v>21407198601295</v>
      </c>
      <c r="D1298" s="20">
        <f>9829346/1000</f>
        <v>9829.3459999999995</v>
      </c>
      <c r="E1298" s="20"/>
    </row>
    <row r="1299" spans="1:5" s="16" customFormat="1">
      <c r="A1299" s="17">
        <v>97</v>
      </c>
      <c r="B1299" s="18" t="s">
        <v>1470</v>
      </c>
      <c r="C1299" s="19">
        <v>21007196800134</v>
      </c>
      <c r="D1299" s="20">
        <f>9792194/1000</f>
        <v>9792.1939999999995</v>
      </c>
      <c r="E1299" s="20"/>
    </row>
    <row r="1300" spans="1:5" s="16" customFormat="1">
      <c r="A1300" s="17">
        <v>98</v>
      </c>
      <c r="B1300" s="18" t="s">
        <v>1471</v>
      </c>
      <c r="C1300" s="19">
        <v>12607198401209</v>
      </c>
      <c r="D1300" s="20">
        <f>9664843.33/1000</f>
        <v>9664.8433299999997</v>
      </c>
      <c r="E1300" s="20"/>
    </row>
    <row r="1301" spans="1:5" s="16" customFormat="1">
      <c r="A1301" s="17">
        <v>99</v>
      </c>
      <c r="B1301" s="18" t="s">
        <v>2534</v>
      </c>
      <c r="C1301" s="19">
        <v>23006199201000</v>
      </c>
      <c r="D1301" s="20">
        <f>9603782/1000</f>
        <v>9603.7819999999992</v>
      </c>
      <c r="E1301" s="20"/>
    </row>
    <row r="1302" spans="1:5" s="16" customFormat="1">
      <c r="A1302" s="17">
        <v>100</v>
      </c>
      <c r="B1302" s="18" t="s">
        <v>2535</v>
      </c>
      <c r="C1302" s="19" t="s">
        <v>2205</v>
      </c>
      <c r="D1302" s="20">
        <f>9586393.91/1000</f>
        <v>9586.3939100000007</v>
      </c>
      <c r="E1302" s="20"/>
    </row>
    <row r="1303" spans="1:5" s="16" customFormat="1">
      <c r="A1303" s="17">
        <v>101</v>
      </c>
      <c r="B1303" s="18" t="s">
        <v>1285</v>
      </c>
      <c r="C1303" s="19" t="s">
        <v>2105</v>
      </c>
      <c r="D1303" s="20">
        <f>9269629.71/1000</f>
        <v>9269.6297100000011</v>
      </c>
      <c r="E1303" s="20"/>
    </row>
    <row r="1304" spans="1:5" s="16" customFormat="1">
      <c r="A1304" s="17">
        <v>102</v>
      </c>
      <c r="B1304" s="18" t="s">
        <v>1475</v>
      </c>
      <c r="C1304" s="19">
        <v>22506196800788</v>
      </c>
      <c r="D1304" s="20">
        <f>9063810.06/1000</f>
        <v>9063.8100599999998</v>
      </c>
      <c r="E1304" s="20"/>
    </row>
    <row r="1305" spans="1:5" s="16" customFormat="1">
      <c r="A1305" s="17">
        <v>103</v>
      </c>
      <c r="B1305" s="18" t="s">
        <v>2270</v>
      </c>
      <c r="C1305" s="19" t="s">
        <v>2106</v>
      </c>
      <c r="D1305" s="20">
        <f>9028698.54/1000</f>
        <v>9028.6985399999994</v>
      </c>
      <c r="E1305" s="20"/>
    </row>
    <row r="1306" spans="1:5" s="16" customFormat="1">
      <c r="A1306" s="17">
        <v>104</v>
      </c>
      <c r="B1306" s="18" t="s">
        <v>2515</v>
      </c>
      <c r="C1306" s="19" t="s">
        <v>2504</v>
      </c>
      <c r="D1306" s="20">
        <f>8919096.82/1000</f>
        <v>8919.0968200000007</v>
      </c>
      <c r="E1306" s="20"/>
    </row>
    <row r="1307" spans="1:5" s="16" customFormat="1">
      <c r="A1307" s="17">
        <v>105</v>
      </c>
      <c r="B1307" s="18" t="s">
        <v>1215</v>
      </c>
      <c r="C1307" s="19">
        <v>20302198701891</v>
      </c>
      <c r="D1307" s="20">
        <f>18508672.76/1000</f>
        <v>18508.672760000001</v>
      </c>
      <c r="E1307" s="20"/>
    </row>
    <row r="1308" spans="1:5" s="16" customFormat="1">
      <c r="A1308" s="17">
        <v>106</v>
      </c>
      <c r="B1308" s="18" t="s">
        <v>2536</v>
      </c>
      <c r="C1308" s="19" t="s">
        <v>2107</v>
      </c>
      <c r="D1308" s="20">
        <f>8605197.06/1000</f>
        <v>8605.1970600000004</v>
      </c>
      <c r="E1308" s="20"/>
    </row>
    <row r="1309" spans="1:5" s="16" customFormat="1">
      <c r="A1309" s="17">
        <v>107</v>
      </c>
      <c r="B1309" s="18" t="s">
        <v>1472</v>
      </c>
      <c r="C1309" s="19" t="s">
        <v>2108</v>
      </c>
      <c r="D1309" s="20">
        <f>8513862.49/1000</f>
        <v>8513.8624899999995</v>
      </c>
      <c r="E1309" s="20"/>
    </row>
    <row r="1310" spans="1:5" s="16" customFormat="1">
      <c r="A1310" s="17">
        <v>108</v>
      </c>
      <c r="B1310" s="18" t="s">
        <v>1287</v>
      </c>
      <c r="C1310" s="19" t="s">
        <v>2109</v>
      </c>
      <c r="D1310" s="20">
        <f>8277764.5/1000</f>
        <v>8277.7644999999993</v>
      </c>
      <c r="E1310" s="20"/>
    </row>
    <row r="1311" spans="1:5" s="16" customFormat="1">
      <c r="A1311" s="17">
        <v>109</v>
      </c>
      <c r="B1311" s="18" t="s">
        <v>1474</v>
      </c>
      <c r="C1311" s="19">
        <v>20304196910087</v>
      </c>
      <c r="D1311" s="20">
        <f>8413143.34/1000</f>
        <v>8413.1433400000005</v>
      </c>
      <c r="E1311" s="20"/>
    </row>
    <row r="1312" spans="1:5" s="16" customFormat="1">
      <c r="A1312" s="17">
        <v>110</v>
      </c>
      <c r="B1312" s="18" t="s">
        <v>2537</v>
      </c>
      <c r="C1312" s="19" t="s">
        <v>2110</v>
      </c>
      <c r="D1312" s="20">
        <f>8194255/1000</f>
        <v>8194.2549999999992</v>
      </c>
      <c r="E1312" s="20"/>
    </row>
    <row r="1313" spans="1:5" s="16" customFormat="1">
      <c r="A1313" s="17">
        <v>111</v>
      </c>
      <c r="B1313" s="18" t="s">
        <v>1003</v>
      </c>
      <c r="C1313" s="19" t="s">
        <v>2112</v>
      </c>
      <c r="D1313" s="20">
        <f>8414531.95/1000</f>
        <v>8414.5319499999987</v>
      </c>
      <c r="E1313" s="20"/>
    </row>
    <row r="1314" spans="1:5" s="16" customFormat="1">
      <c r="A1314" s="17">
        <v>112</v>
      </c>
      <c r="B1314" s="18" t="s">
        <v>764</v>
      </c>
      <c r="C1314" s="19" t="s">
        <v>2113</v>
      </c>
      <c r="D1314" s="20">
        <f>8070359.41/1000</f>
        <v>8070.35941</v>
      </c>
      <c r="E1314" s="20"/>
    </row>
    <row r="1315" spans="1:5" s="16" customFormat="1">
      <c r="A1315" s="17">
        <v>113</v>
      </c>
      <c r="B1315" s="18" t="s">
        <v>1473</v>
      </c>
      <c r="C1315" s="19">
        <v>10705197401185</v>
      </c>
      <c r="D1315" s="20">
        <f>7725091.35/1000</f>
        <v>7725.0913499999997</v>
      </c>
      <c r="E1315" s="20"/>
    </row>
    <row r="1316" spans="1:5" s="16" customFormat="1">
      <c r="A1316" s="17">
        <v>114</v>
      </c>
      <c r="B1316" s="18" t="s">
        <v>2538</v>
      </c>
      <c r="C1316" s="19" t="s">
        <v>2114</v>
      </c>
      <c r="D1316" s="20">
        <f>7638354/1000</f>
        <v>7638.3540000000003</v>
      </c>
      <c r="E1316" s="20"/>
    </row>
    <row r="1317" spans="1:5" s="16" customFormat="1">
      <c r="A1317" s="17">
        <v>115</v>
      </c>
      <c r="B1317" s="18" t="s">
        <v>1277</v>
      </c>
      <c r="C1317" s="19" t="s">
        <v>2115</v>
      </c>
      <c r="D1317" s="20">
        <f>7560820.04/1000</f>
        <v>7560.8200399999996</v>
      </c>
      <c r="E1317" s="20"/>
    </row>
    <row r="1318" spans="1:5" s="16" customFormat="1">
      <c r="A1318" s="17">
        <v>116</v>
      </c>
      <c r="B1318" s="18" t="s">
        <v>1245</v>
      </c>
      <c r="C1318" s="19" t="s">
        <v>2116</v>
      </c>
      <c r="D1318" s="20">
        <f>7112353.01/1000</f>
        <v>7112.3530099999998</v>
      </c>
      <c r="E1318" s="20"/>
    </row>
    <row r="1319" spans="1:5" s="16" customFormat="1">
      <c r="A1319" s="17">
        <v>117</v>
      </c>
      <c r="B1319" s="18" t="s">
        <v>2539</v>
      </c>
      <c r="C1319" s="19" t="s">
        <v>2117</v>
      </c>
      <c r="D1319" s="20">
        <f>7055897.5/1000</f>
        <v>7055.8975</v>
      </c>
      <c r="E1319" s="20"/>
    </row>
    <row r="1320" spans="1:5" s="16" customFormat="1">
      <c r="A1320" s="17">
        <v>118</v>
      </c>
      <c r="B1320" s="18" t="s">
        <v>1243</v>
      </c>
      <c r="C1320" s="19" t="s">
        <v>2118</v>
      </c>
      <c r="D1320" s="20">
        <f>7034230.19/1000</f>
        <v>7034.2301900000002</v>
      </c>
      <c r="E1320" s="20"/>
    </row>
    <row r="1321" spans="1:5" s="16" customFormat="1">
      <c r="A1321" s="17">
        <v>119</v>
      </c>
      <c r="B1321" s="18" t="s">
        <v>1196</v>
      </c>
      <c r="C1321" s="19" t="s">
        <v>2119</v>
      </c>
      <c r="D1321" s="20">
        <f>6878529.33/1000</f>
        <v>6878.5293300000003</v>
      </c>
      <c r="E1321" s="20"/>
    </row>
    <row r="1322" spans="1:5" s="16" customFormat="1">
      <c r="A1322" s="17">
        <v>120</v>
      </c>
      <c r="B1322" s="18" t="s">
        <v>1476</v>
      </c>
      <c r="C1322" s="19">
        <v>11509196601104</v>
      </c>
      <c r="D1322" s="20">
        <f>6762689.9/1000</f>
        <v>6762.6899000000003</v>
      </c>
      <c r="E1322" s="20"/>
    </row>
    <row r="1323" spans="1:5" s="16" customFormat="1">
      <c r="A1323" s="17">
        <v>121</v>
      </c>
      <c r="B1323" s="18" t="s">
        <v>532</v>
      </c>
      <c r="C1323" s="19" t="s">
        <v>2120</v>
      </c>
      <c r="D1323" s="20">
        <f>6609274.54/1000</f>
        <v>6609.2745400000003</v>
      </c>
      <c r="E1323" s="20"/>
    </row>
    <row r="1324" spans="1:5" s="16" customFormat="1">
      <c r="A1324" s="17">
        <v>122</v>
      </c>
      <c r="B1324" s="18" t="s">
        <v>2544</v>
      </c>
      <c r="C1324" s="19" t="s">
        <v>2121</v>
      </c>
      <c r="D1324" s="20">
        <f>6549765.4/1000</f>
        <v>6549.7654000000002</v>
      </c>
      <c r="E1324" s="20"/>
    </row>
    <row r="1325" spans="1:5" s="16" customFormat="1">
      <c r="A1325" s="17">
        <v>123</v>
      </c>
      <c r="B1325" s="18" t="s">
        <v>1477</v>
      </c>
      <c r="C1325" s="19">
        <v>22904199001715</v>
      </c>
      <c r="D1325" s="20">
        <f>6507223.6/1000</f>
        <v>6507.2235999999994</v>
      </c>
      <c r="E1325" s="20"/>
    </row>
    <row r="1326" spans="1:5" s="16" customFormat="1">
      <c r="A1326" s="17">
        <v>124</v>
      </c>
      <c r="B1326" s="18" t="s">
        <v>1242</v>
      </c>
      <c r="C1326" s="19" t="s">
        <v>2122</v>
      </c>
      <c r="D1326" s="20">
        <f>6410132/1000</f>
        <v>6410.1319999999996</v>
      </c>
      <c r="E1326" s="20"/>
    </row>
    <row r="1327" spans="1:5" s="16" customFormat="1">
      <c r="A1327" s="17">
        <v>125</v>
      </c>
      <c r="B1327" s="18" t="s">
        <v>2290</v>
      </c>
      <c r="C1327" s="19" t="s">
        <v>2123</v>
      </c>
      <c r="D1327" s="20">
        <f>6362745.53/1000</f>
        <v>6362.7455300000001</v>
      </c>
      <c r="E1327" s="20"/>
    </row>
    <row r="1328" spans="1:5" s="16" customFormat="1">
      <c r="A1328" s="17">
        <v>126</v>
      </c>
      <c r="B1328" s="18" t="s">
        <v>1478</v>
      </c>
      <c r="C1328" s="19">
        <v>21008199402037</v>
      </c>
      <c r="D1328" s="20">
        <f>6189418/1000</f>
        <v>6189.4179999999997</v>
      </c>
      <c r="E1328" s="20"/>
    </row>
    <row r="1329" spans="1:5" s="16" customFormat="1">
      <c r="A1329" s="17">
        <v>127</v>
      </c>
      <c r="B1329" s="18" t="s">
        <v>656</v>
      </c>
      <c r="C1329" s="19" t="s">
        <v>2126</v>
      </c>
      <c r="D1329" s="20">
        <f>5634019.1/1000</f>
        <v>5634.0190999999995</v>
      </c>
      <c r="E1329" s="20"/>
    </row>
    <row r="1330" spans="1:5" s="16" customFormat="1">
      <c r="A1330" s="17">
        <v>128</v>
      </c>
      <c r="B1330" s="18" t="s">
        <v>2542</v>
      </c>
      <c r="C1330" s="19" t="s">
        <v>2127</v>
      </c>
      <c r="D1330" s="20">
        <f>5586699.94/1000</f>
        <v>5586.6999400000004</v>
      </c>
      <c r="E1330" s="20"/>
    </row>
    <row r="1331" spans="1:5" s="16" customFormat="1">
      <c r="A1331" s="17">
        <v>129</v>
      </c>
      <c r="B1331" s="18" t="s">
        <v>2271</v>
      </c>
      <c r="C1331" s="19" t="s">
        <v>2124</v>
      </c>
      <c r="D1331" s="20">
        <f>5535328.64/1000</f>
        <v>5535.3286399999997</v>
      </c>
      <c r="E1331" s="20"/>
    </row>
    <row r="1332" spans="1:5" s="16" customFormat="1">
      <c r="A1332" s="17">
        <v>130</v>
      </c>
      <c r="B1332" s="18" t="s">
        <v>1479</v>
      </c>
      <c r="C1332" s="19" t="s">
        <v>2128</v>
      </c>
      <c r="D1332" s="20">
        <f>5525180.77/1000</f>
        <v>5525.1807699999999</v>
      </c>
      <c r="E1332" s="20"/>
    </row>
    <row r="1333" spans="1:5" s="16" customFormat="1">
      <c r="A1333" s="17">
        <v>131</v>
      </c>
      <c r="B1333" s="18" t="s">
        <v>1269</v>
      </c>
      <c r="C1333" s="19" t="s">
        <v>2130</v>
      </c>
      <c r="D1333" s="20">
        <f>5391329.33/1000</f>
        <v>5391.3293300000005</v>
      </c>
      <c r="E1333" s="20"/>
    </row>
    <row r="1334" spans="1:5" s="16" customFormat="1">
      <c r="A1334" s="17">
        <v>132</v>
      </c>
      <c r="B1334" s="18" t="s">
        <v>1264</v>
      </c>
      <c r="C1334" s="19" t="s">
        <v>2129</v>
      </c>
      <c r="D1334" s="20">
        <f>5327472/1000</f>
        <v>5327.4719999999998</v>
      </c>
      <c r="E1334" s="20"/>
    </row>
    <row r="1335" spans="1:5" s="16" customFormat="1">
      <c r="A1335" s="17">
        <v>133</v>
      </c>
      <c r="B1335" s="18" t="s">
        <v>2543</v>
      </c>
      <c r="C1335" s="19" t="s">
        <v>2131</v>
      </c>
      <c r="D1335" s="20">
        <f>5257798.38/1000</f>
        <v>5257.7983800000002</v>
      </c>
      <c r="E1335" s="20"/>
    </row>
    <row r="1336" spans="1:5" s="16" customFormat="1">
      <c r="A1336" s="17">
        <v>134</v>
      </c>
      <c r="B1336" s="18" t="s">
        <v>1183</v>
      </c>
      <c r="C1336" s="19" t="s">
        <v>2134</v>
      </c>
      <c r="D1336" s="20">
        <f>5089034.58/1000</f>
        <v>5089.0345800000005</v>
      </c>
      <c r="E1336" s="20"/>
    </row>
    <row r="1337" spans="1:5" s="16" customFormat="1">
      <c r="A1337" s="17">
        <v>135</v>
      </c>
      <c r="B1337" s="18" t="s">
        <v>1480</v>
      </c>
      <c r="C1337" s="19">
        <v>20702195400378</v>
      </c>
      <c r="D1337" s="20">
        <f>5067064.84/1000</f>
        <v>5067.06484</v>
      </c>
      <c r="E1337" s="20"/>
    </row>
    <row r="1338" spans="1:5" s="16" customFormat="1">
      <c r="A1338" s="17">
        <v>136</v>
      </c>
      <c r="B1338" s="18" t="s">
        <v>1281</v>
      </c>
      <c r="C1338" s="19" t="s">
        <v>2132</v>
      </c>
      <c r="D1338" s="20">
        <f>5013796/1000</f>
        <v>5013.7960000000003</v>
      </c>
      <c r="E1338" s="20"/>
    </row>
    <row r="1339" spans="1:5" s="16" customFormat="1">
      <c r="A1339" s="17">
        <v>137</v>
      </c>
      <c r="B1339" s="18" t="s">
        <v>2547</v>
      </c>
      <c r="C1339" s="19" t="s">
        <v>2133</v>
      </c>
      <c r="D1339" s="20">
        <f>4992272/1000</f>
        <v>4992.2719999999999</v>
      </c>
      <c r="E1339" s="20"/>
    </row>
    <row r="1340" spans="1:5" s="16" customFormat="1">
      <c r="A1340" s="17">
        <v>138</v>
      </c>
      <c r="B1340" s="18" t="s">
        <v>1293</v>
      </c>
      <c r="C1340" s="19" t="s">
        <v>2135</v>
      </c>
      <c r="D1340" s="20">
        <f>4851864.46/1000</f>
        <v>4851.8644599999998</v>
      </c>
      <c r="E1340" s="20"/>
    </row>
    <row r="1341" spans="1:5" s="16" customFormat="1">
      <c r="A1341" s="17">
        <v>139</v>
      </c>
      <c r="B1341" s="18" t="s">
        <v>1186</v>
      </c>
      <c r="C1341" s="19" t="s">
        <v>2136</v>
      </c>
      <c r="D1341" s="20">
        <f>4818539.23/1000</f>
        <v>4818.5392300000003</v>
      </c>
      <c r="E1341" s="20"/>
    </row>
    <row r="1342" spans="1:5" s="16" customFormat="1">
      <c r="A1342" s="17">
        <v>140</v>
      </c>
      <c r="B1342" s="18" t="s">
        <v>2545</v>
      </c>
      <c r="C1342" s="19" t="s">
        <v>2125</v>
      </c>
      <c r="D1342" s="20">
        <f>4276787.7/1000</f>
        <v>4276.7876999999999</v>
      </c>
      <c r="E1342" s="20"/>
    </row>
    <row r="1343" spans="1:5" s="16" customFormat="1">
      <c r="A1343" s="17">
        <v>141</v>
      </c>
      <c r="B1343" s="18" t="s">
        <v>533</v>
      </c>
      <c r="C1343" s="19" t="s">
        <v>2137</v>
      </c>
      <c r="D1343" s="20">
        <f>4668688.1/1000</f>
        <v>4668.6880999999994</v>
      </c>
      <c r="E1343" s="20"/>
    </row>
    <row r="1344" spans="1:5" s="16" customFormat="1">
      <c r="A1344" s="17">
        <v>142</v>
      </c>
      <c r="B1344" s="18" t="s">
        <v>2272</v>
      </c>
      <c r="C1344" s="19" t="s">
        <v>2139</v>
      </c>
      <c r="D1344" s="20">
        <f>4634470.43/1000</f>
        <v>4634.4704299999994</v>
      </c>
      <c r="E1344" s="20"/>
    </row>
    <row r="1345" spans="1:5" s="16" customFormat="1">
      <c r="A1345" s="17">
        <v>143</v>
      </c>
      <c r="B1345" s="18" t="s">
        <v>1481</v>
      </c>
      <c r="C1345" s="19" t="s">
        <v>2138</v>
      </c>
      <c r="D1345" s="20">
        <f>4610352/1000</f>
        <v>4610.3519999999999</v>
      </c>
      <c r="E1345" s="20"/>
    </row>
    <row r="1346" spans="1:5" s="16" customFormat="1">
      <c r="A1346" s="17">
        <v>144</v>
      </c>
      <c r="B1346" s="18" t="s">
        <v>2548</v>
      </c>
      <c r="C1346" s="19" t="s">
        <v>2140</v>
      </c>
      <c r="D1346" s="20">
        <f>4514486.37/1000</f>
        <v>4514.4863700000005</v>
      </c>
      <c r="E1346" s="20"/>
    </row>
    <row r="1347" spans="1:5" s="16" customFormat="1">
      <c r="A1347" s="17">
        <v>145</v>
      </c>
      <c r="B1347" s="18" t="s">
        <v>1482</v>
      </c>
      <c r="C1347" s="19" t="s">
        <v>2141</v>
      </c>
      <c r="D1347" s="20">
        <f>4465814.72/1000</f>
        <v>4465.8147199999994</v>
      </c>
      <c r="E1347" s="20"/>
    </row>
    <row r="1348" spans="1:5" s="16" customFormat="1">
      <c r="A1348" s="17">
        <v>146</v>
      </c>
      <c r="B1348" s="18" t="s">
        <v>2546</v>
      </c>
      <c r="C1348" s="19" t="s">
        <v>2142</v>
      </c>
      <c r="D1348" s="20">
        <f>4395702/1000</f>
        <v>4395.7020000000002</v>
      </c>
      <c r="E1348" s="20"/>
    </row>
    <row r="1349" spans="1:5" s="16" customFormat="1">
      <c r="A1349" s="17">
        <v>147</v>
      </c>
      <c r="B1349" s="18" t="s">
        <v>1226</v>
      </c>
      <c r="C1349" s="19" t="s">
        <v>2144</v>
      </c>
      <c r="D1349" s="20">
        <f>4187756/1000</f>
        <v>4187.7560000000003</v>
      </c>
      <c r="E1349" s="20"/>
    </row>
    <row r="1350" spans="1:5" s="16" customFormat="1">
      <c r="A1350" s="17">
        <v>148</v>
      </c>
      <c r="B1350" s="18" t="s">
        <v>1259</v>
      </c>
      <c r="C1350" s="19" t="s">
        <v>2145</v>
      </c>
      <c r="D1350" s="20">
        <f>3995942/1000</f>
        <v>3995.942</v>
      </c>
      <c r="E1350" s="20"/>
    </row>
    <row r="1351" spans="1:5" s="16" customFormat="1">
      <c r="A1351" s="17">
        <v>149</v>
      </c>
      <c r="B1351" s="18" t="s">
        <v>1543</v>
      </c>
      <c r="C1351" s="19" t="s">
        <v>2146</v>
      </c>
      <c r="D1351" s="20">
        <f>4042474.39/1000</f>
        <v>4042.4743900000003</v>
      </c>
      <c r="E1351" s="20">
        <v>44831.7</v>
      </c>
    </row>
    <row r="1352" spans="1:5" s="16" customFormat="1">
      <c r="A1352" s="17">
        <v>150</v>
      </c>
      <c r="B1352" s="18" t="s">
        <v>1484</v>
      </c>
      <c r="C1352" s="19">
        <v>22504199500261</v>
      </c>
      <c r="D1352" s="20">
        <f>3959062/1000</f>
        <v>3959.0619999999999</v>
      </c>
      <c r="E1352" s="20"/>
    </row>
    <row r="1353" spans="1:5" s="16" customFormat="1">
      <c r="A1353" s="17">
        <v>151</v>
      </c>
      <c r="B1353" s="18" t="s">
        <v>1255</v>
      </c>
      <c r="C1353" s="19" t="s">
        <v>2147</v>
      </c>
      <c r="D1353" s="20">
        <f>3903673.23/1000</f>
        <v>3903.6732299999999</v>
      </c>
      <c r="E1353" s="20"/>
    </row>
    <row r="1354" spans="1:5" s="16" customFormat="1">
      <c r="A1354" s="17">
        <v>152</v>
      </c>
      <c r="B1354" s="18" t="s">
        <v>1260</v>
      </c>
      <c r="C1354" s="19" t="s">
        <v>2148</v>
      </c>
      <c r="D1354" s="20">
        <f>3855296.2/1000</f>
        <v>3855.2962000000002</v>
      </c>
      <c r="E1354" s="20"/>
    </row>
    <row r="1355" spans="1:5" s="16" customFormat="1">
      <c r="A1355" s="17">
        <v>153</v>
      </c>
      <c r="B1355" s="18" t="s">
        <v>1485</v>
      </c>
      <c r="C1355" s="19">
        <v>22401198900484</v>
      </c>
      <c r="D1355" s="20">
        <f>3744810.75/1000</f>
        <v>3744.8107500000001</v>
      </c>
      <c r="E1355" s="20"/>
    </row>
    <row r="1356" spans="1:5" s="16" customFormat="1">
      <c r="A1356" s="17">
        <v>154</v>
      </c>
      <c r="B1356" s="18" t="s">
        <v>1234</v>
      </c>
      <c r="C1356" s="19" t="s">
        <v>2149</v>
      </c>
      <c r="D1356" s="20">
        <f>3735363.4/1000</f>
        <v>3735.3633999999997</v>
      </c>
      <c r="E1356" s="20"/>
    </row>
    <row r="1357" spans="1:5" s="16" customFormat="1">
      <c r="A1357" s="17">
        <v>155</v>
      </c>
      <c r="B1357" s="18" t="s">
        <v>1240</v>
      </c>
      <c r="C1357" s="19" t="s">
        <v>2150</v>
      </c>
      <c r="D1357" s="20">
        <f>3725902/1000</f>
        <v>3725.902</v>
      </c>
      <c r="E1357" s="20"/>
    </row>
    <row r="1358" spans="1:5" s="16" customFormat="1">
      <c r="A1358" s="17">
        <v>156</v>
      </c>
      <c r="B1358" s="18" t="s">
        <v>1486</v>
      </c>
      <c r="C1358" s="19">
        <v>20402195100338</v>
      </c>
      <c r="D1358" s="20">
        <f>3742600/1000</f>
        <v>3742.6</v>
      </c>
      <c r="E1358" s="20"/>
    </row>
    <row r="1359" spans="1:5" s="16" customFormat="1">
      <c r="A1359" s="17">
        <v>157</v>
      </c>
      <c r="B1359" s="18" t="s">
        <v>1002</v>
      </c>
      <c r="C1359" s="19" t="s">
        <v>2152</v>
      </c>
      <c r="D1359" s="20">
        <f>3668235.64/1000</f>
        <v>3668.2356400000003</v>
      </c>
      <c r="E1359" s="20"/>
    </row>
    <row r="1360" spans="1:5" s="16" customFormat="1">
      <c r="A1360" s="17">
        <v>158</v>
      </c>
      <c r="B1360" s="18" t="s">
        <v>2550</v>
      </c>
      <c r="C1360" s="19" t="s">
        <v>2151</v>
      </c>
      <c r="D1360" s="20">
        <f>3667443.5/1000</f>
        <v>3667.4434999999999</v>
      </c>
      <c r="E1360" s="20"/>
    </row>
    <row r="1361" spans="1:5" s="16" customFormat="1">
      <c r="A1361" s="17">
        <v>159</v>
      </c>
      <c r="B1361" s="18" t="s">
        <v>1230</v>
      </c>
      <c r="C1361" s="19" t="s">
        <v>2153</v>
      </c>
      <c r="D1361" s="20">
        <f>3565453.09/1000</f>
        <v>3565.45309</v>
      </c>
      <c r="E1361" s="20"/>
    </row>
    <row r="1362" spans="1:5" s="16" customFormat="1">
      <c r="A1362" s="17">
        <v>160</v>
      </c>
      <c r="B1362" s="18" t="s">
        <v>1271</v>
      </c>
      <c r="C1362" s="19" t="s">
        <v>2154</v>
      </c>
      <c r="D1362" s="20">
        <f>3433152/1000</f>
        <v>3433.152</v>
      </c>
      <c r="E1362" s="20"/>
    </row>
    <row r="1363" spans="1:5" s="16" customFormat="1">
      <c r="A1363" s="17">
        <v>161</v>
      </c>
      <c r="B1363" s="18" t="s">
        <v>2549</v>
      </c>
      <c r="C1363" s="19" t="s">
        <v>2155</v>
      </c>
      <c r="D1363" s="20">
        <f>3409987.27/1000</f>
        <v>3409.9872700000001</v>
      </c>
      <c r="E1363" s="20"/>
    </row>
    <row r="1364" spans="1:5" s="16" customFormat="1">
      <c r="A1364" s="17">
        <v>162</v>
      </c>
      <c r="B1364" s="18" t="s">
        <v>996</v>
      </c>
      <c r="C1364" s="19" t="s">
        <v>2159</v>
      </c>
      <c r="D1364" s="20">
        <f>3399334.62/1000</f>
        <v>3399.3346200000001</v>
      </c>
      <c r="E1364" s="20"/>
    </row>
    <row r="1365" spans="1:5" s="16" customFormat="1">
      <c r="A1365" s="17">
        <v>163</v>
      </c>
      <c r="B1365" s="18" t="s">
        <v>1274</v>
      </c>
      <c r="C1365" s="19" t="s">
        <v>2157</v>
      </c>
      <c r="D1365" s="20">
        <f>3350431/1000</f>
        <v>3350.431</v>
      </c>
      <c r="E1365" s="20"/>
    </row>
    <row r="1366" spans="1:5" s="16" customFormat="1">
      <c r="A1366" s="17">
        <v>164</v>
      </c>
      <c r="B1366" s="18" t="s">
        <v>560</v>
      </c>
      <c r="C1366" s="19" t="s">
        <v>2158</v>
      </c>
      <c r="D1366" s="20">
        <f>3338730.48/1000</f>
        <v>3338.7304800000002</v>
      </c>
      <c r="E1366" s="20"/>
    </row>
    <row r="1367" spans="1:5" s="16" customFormat="1">
      <c r="A1367" s="17">
        <v>165</v>
      </c>
      <c r="B1367" s="18" t="s">
        <v>1886</v>
      </c>
      <c r="C1367" s="19">
        <v>22103199701166</v>
      </c>
      <c r="D1367" s="20">
        <f>3330476.23/1000</f>
        <v>3330.4762299999998</v>
      </c>
      <c r="E1367" s="20"/>
    </row>
    <row r="1368" spans="1:5" s="16" customFormat="1">
      <c r="A1368" s="17">
        <v>166</v>
      </c>
      <c r="B1368" s="18" t="s">
        <v>2551</v>
      </c>
      <c r="C1368" s="19" t="s">
        <v>2160</v>
      </c>
      <c r="D1368" s="20">
        <f>3285846.09/1000</f>
        <v>3285.84609</v>
      </c>
      <c r="E1368" s="20"/>
    </row>
    <row r="1369" spans="1:5" s="16" customFormat="1">
      <c r="A1369" s="17">
        <v>167</v>
      </c>
      <c r="B1369" s="18" t="s">
        <v>2516</v>
      </c>
      <c r="C1369" s="19" t="s">
        <v>2143</v>
      </c>
      <c r="D1369" s="20">
        <f>862225.39/1000</f>
        <v>862.22539000000006</v>
      </c>
      <c r="E1369" s="20"/>
    </row>
    <row r="1370" spans="1:5" s="16" customFormat="1">
      <c r="A1370" s="17">
        <v>168</v>
      </c>
      <c r="B1370" s="18" t="s">
        <v>1227</v>
      </c>
      <c r="C1370" s="19" t="s">
        <v>2161</v>
      </c>
      <c r="D1370" s="20">
        <f>3279684/1000</f>
        <v>3279.6840000000002</v>
      </c>
      <c r="E1370" s="20"/>
    </row>
    <row r="1371" spans="1:5" s="16" customFormat="1">
      <c r="A1371" s="17">
        <v>169</v>
      </c>
      <c r="B1371" s="18" t="s">
        <v>1487</v>
      </c>
      <c r="C1371" s="19" t="s">
        <v>2164</v>
      </c>
      <c r="D1371" s="20">
        <f>3158670.07/1000</f>
        <v>3158.6700699999997</v>
      </c>
      <c r="E1371" s="20"/>
    </row>
    <row r="1372" spans="1:5" s="16" customFormat="1">
      <c r="A1372" s="17">
        <v>170</v>
      </c>
      <c r="B1372" s="18" t="s">
        <v>2552</v>
      </c>
      <c r="C1372" s="19" t="s">
        <v>2163</v>
      </c>
      <c r="D1372" s="20">
        <f>3115981.5/1000</f>
        <v>3115.9814999999999</v>
      </c>
      <c r="E1372" s="20"/>
    </row>
    <row r="1373" spans="1:5" s="16" customFormat="1">
      <c r="A1373" s="17">
        <v>171</v>
      </c>
      <c r="B1373" s="18" t="s">
        <v>1182</v>
      </c>
      <c r="C1373" s="19" t="s">
        <v>2167</v>
      </c>
      <c r="D1373" s="20">
        <f>3064733.06/1000</f>
        <v>3064.73306</v>
      </c>
      <c r="E1373" s="20"/>
    </row>
    <row r="1374" spans="1:5" s="16" customFormat="1">
      <c r="A1374" s="17">
        <v>172</v>
      </c>
      <c r="B1374" s="18" t="s">
        <v>1001</v>
      </c>
      <c r="C1374" s="19" t="s">
        <v>2156</v>
      </c>
      <c r="D1374" s="20">
        <f>3061632.7/1000</f>
        <v>3061.6327000000001</v>
      </c>
      <c r="E1374" s="20"/>
    </row>
    <row r="1375" spans="1:5" s="16" customFormat="1">
      <c r="A1375" s="17">
        <v>173</v>
      </c>
      <c r="B1375" s="18" t="s">
        <v>1279</v>
      </c>
      <c r="C1375" s="19" t="s">
        <v>2165</v>
      </c>
      <c r="D1375" s="20">
        <f>3063985.84/1000</f>
        <v>3063.9858399999998</v>
      </c>
      <c r="E1375" s="20"/>
    </row>
    <row r="1376" spans="1:5" s="16" customFormat="1">
      <c r="A1376" s="17">
        <v>174</v>
      </c>
      <c r="B1376" s="18" t="s">
        <v>1887</v>
      </c>
      <c r="C1376" s="19">
        <v>21307199001912</v>
      </c>
      <c r="D1376" s="20">
        <f>2924144.56/1000</f>
        <v>2924.1445600000002</v>
      </c>
      <c r="E1376" s="20"/>
    </row>
    <row r="1377" spans="1:5" s="16" customFormat="1">
      <c r="A1377" s="17">
        <v>175</v>
      </c>
      <c r="B1377" s="18" t="s">
        <v>1261</v>
      </c>
      <c r="C1377" s="19" t="s">
        <v>2168</v>
      </c>
      <c r="D1377" s="20">
        <f>2873670/1000</f>
        <v>2873.67</v>
      </c>
      <c r="E1377" s="20"/>
    </row>
    <row r="1378" spans="1:5" s="16" customFormat="1">
      <c r="A1378" s="17">
        <v>176</v>
      </c>
      <c r="B1378" s="18" t="s">
        <v>1483</v>
      </c>
      <c r="C1378" s="19" t="s">
        <v>2166</v>
      </c>
      <c r="D1378" s="20">
        <f>2871608.61/1000</f>
        <v>2871.6086099999998</v>
      </c>
      <c r="E1378" s="20"/>
    </row>
    <row r="1379" spans="1:5" s="16" customFormat="1">
      <c r="A1379" s="17">
        <v>177</v>
      </c>
      <c r="B1379" s="18" t="s">
        <v>1890</v>
      </c>
      <c r="C1379" s="19">
        <v>13108199301631</v>
      </c>
      <c r="D1379" s="20">
        <f>2788762.93/1000</f>
        <v>2788.7629300000003</v>
      </c>
      <c r="E1379" s="20"/>
    </row>
    <row r="1380" spans="1:5" s="16" customFormat="1">
      <c r="A1380" s="17">
        <v>178</v>
      </c>
      <c r="B1380" s="18" t="s">
        <v>1006</v>
      </c>
      <c r="C1380" s="19" t="s">
        <v>2169</v>
      </c>
      <c r="D1380" s="20">
        <f>2773956.99/1000</f>
        <v>2773.9569900000001</v>
      </c>
      <c r="E1380" s="20"/>
    </row>
    <row r="1381" spans="1:5" s="16" customFormat="1">
      <c r="A1381" s="17">
        <v>179</v>
      </c>
      <c r="B1381" s="18" t="s">
        <v>2553</v>
      </c>
      <c r="C1381" s="19" t="s">
        <v>2170</v>
      </c>
      <c r="D1381" s="20">
        <f>2617955.77/1000</f>
        <v>2617.95577</v>
      </c>
      <c r="E1381" s="20"/>
    </row>
    <row r="1382" spans="1:5" s="16" customFormat="1">
      <c r="A1382" s="17">
        <v>180</v>
      </c>
      <c r="B1382" s="18" t="s">
        <v>1488</v>
      </c>
      <c r="C1382" s="19">
        <v>20201200100733</v>
      </c>
      <c r="D1382" s="20">
        <f>2606223.4/1000</f>
        <v>2606.2233999999999</v>
      </c>
      <c r="E1382" s="20"/>
    </row>
    <row r="1383" spans="1:5" s="16" customFormat="1">
      <c r="A1383" s="17">
        <v>181</v>
      </c>
      <c r="B1383" s="18" t="s">
        <v>2554</v>
      </c>
      <c r="C1383" s="19" t="s">
        <v>2171</v>
      </c>
      <c r="D1383" s="20">
        <f>2676763.35/1000</f>
        <v>2676.7633500000002</v>
      </c>
      <c r="E1383" s="20"/>
    </row>
    <row r="1384" spans="1:5" s="16" customFormat="1">
      <c r="A1384" s="17">
        <v>182</v>
      </c>
      <c r="B1384" s="18" t="s">
        <v>1263</v>
      </c>
      <c r="C1384" s="19" t="s">
        <v>2172</v>
      </c>
      <c r="D1384" s="20">
        <f>2589161/1000</f>
        <v>2589.1610000000001</v>
      </c>
      <c r="E1384" s="20"/>
    </row>
    <row r="1385" spans="1:5" s="16" customFormat="1">
      <c r="A1385" s="17">
        <v>183</v>
      </c>
      <c r="B1385" s="18" t="s">
        <v>1489</v>
      </c>
      <c r="C1385" s="19">
        <v>20205198801032</v>
      </c>
      <c r="D1385" s="20">
        <f>2544999.08/1000</f>
        <v>2544.99908</v>
      </c>
      <c r="E1385" s="20"/>
    </row>
    <row r="1386" spans="1:5" s="16" customFormat="1">
      <c r="A1386" s="17">
        <v>184</v>
      </c>
      <c r="B1386" s="18" t="s">
        <v>2555</v>
      </c>
      <c r="C1386" s="19" t="s">
        <v>2173</v>
      </c>
      <c r="D1386" s="20">
        <f>1450708.12/1000</f>
        <v>1450.70812</v>
      </c>
      <c r="E1386" s="20"/>
    </row>
    <row r="1387" spans="1:5" s="16" customFormat="1">
      <c r="A1387" s="17">
        <v>185</v>
      </c>
      <c r="B1387" s="18" t="s">
        <v>1490</v>
      </c>
      <c r="C1387" s="19">
        <v>20811198900740</v>
      </c>
      <c r="D1387" s="20">
        <f>2523500.64/1000</f>
        <v>2523.5006400000002</v>
      </c>
      <c r="E1387" s="20"/>
    </row>
    <row r="1388" spans="1:5" s="16" customFormat="1">
      <c r="A1388" s="17">
        <v>186</v>
      </c>
      <c r="B1388" s="18" t="s">
        <v>1494</v>
      </c>
      <c r="C1388" s="19">
        <v>23107199801294</v>
      </c>
      <c r="D1388" s="20">
        <f>2502494.75/1000</f>
        <v>2502.4947499999998</v>
      </c>
      <c r="E1388" s="20"/>
    </row>
    <row r="1389" spans="1:5" s="16" customFormat="1">
      <c r="A1389" s="17">
        <v>187</v>
      </c>
      <c r="B1389" s="18" t="s">
        <v>1014</v>
      </c>
      <c r="C1389" s="19">
        <v>22809198601527</v>
      </c>
      <c r="D1389" s="20">
        <f>2484384.96/1000</f>
        <v>2484.3849599999999</v>
      </c>
      <c r="E1389" s="20"/>
    </row>
    <row r="1390" spans="1:5" s="16" customFormat="1">
      <c r="A1390" s="17">
        <v>188</v>
      </c>
      <c r="B1390" s="18" t="s">
        <v>1188</v>
      </c>
      <c r="C1390" s="19">
        <v>10106199200550</v>
      </c>
      <c r="D1390" s="20">
        <f>2483187.08/1000</f>
        <v>2483.1870800000002</v>
      </c>
      <c r="E1390" s="20"/>
    </row>
    <row r="1391" spans="1:5" s="16" customFormat="1">
      <c r="A1391" s="17">
        <v>189</v>
      </c>
      <c r="B1391" s="18" t="s">
        <v>1491</v>
      </c>
      <c r="C1391" s="19">
        <v>21904199502156</v>
      </c>
      <c r="D1391" s="20">
        <f>2401684/1000</f>
        <v>2401.6840000000002</v>
      </c>
      <c r="E1391" s="20"/>
    </row>
    <row r="1392" spans="1:5" s="16" customFormat="1">
      <c r="A1392" s="17">
        <v>190</v>
      </c>
      <c r="B1392" s="18" t="s">
        <v>2291</v>
      </c>
      <c r="C1392" s="19" t="s">
        <v>2174</v>
      </c>
      <c r="D1392" s="20">
        <f>2386672/1000</f>
        <v>2386.672</v>
      </c>
      <c r="E1392" s="20"/>
    </row>
    <row r="1393" spans="1:5" s="16" customFormat="1">
      <c r="A1393" s="17">
        <v>191</v>
      </c>
      <c r="B1393" s="18" t="s">
        <v>1493</v>
      </c>
      <c r="C1393" s="19">
        <v>21004199000036</v>
      </c>
      <c r="D1393" s="20">
        <f>2342582/1000</f>
        <v>2342.5819999999999</v>
      </c>
      <c r="E1393" s="20"/>
    </row>
    <row r="1394" spans="1:5" s="16" customFormat="1">
      <c r="A1394" s="17">
        <v>192</v>
      </c>
      <c r="B1394" s="18" t="s">
        <v>2517</v>
      </c>
      <c r="C1394" s="19" t="s">
        <v>2175</v>
      </c>
      <c r="D1394" s="20">
        <f>2342060.24/1000</f>
        <v>2342.0602400000002</v>
      </c>
      <c r="E1394" s="20"/>
    </row>
    <row r="1395" spans="1:5" s="16" customFormat="1">
      <c r="A1395" s="17">
        <v>193</v>
      </c>
      <c r="B1395" s="18" t="s">
        <v>70</v>
      </c>
      <c r="C1395" s="19" t="s">
        <v>2176</v>
      </c>
      <c r="D1395" s="20">
        <f>2283376.72/1000</f>
        <v>2283.3767200000002</v>
      </c>
      <c r="E1395" s="20"/>
    </row>
    <row r="1396" spans="1:5" s="16" customFormat="1">
      <c r="A1396" s="17">
        <v>194</v>
      </c>
      <c r="B1396" s="18" t="s">
        <v>1492</v>
      </c>
      <c r="C1396" s="19">
        <v>22708196600133</v>
      </c>
      <c r="D1396" s="20">
        <f>2246466.44/1000</f>
        <v>2246.4664400000001</v>
      </c>
      <c r="E1396" s="20"/>
    </row>
    <row r="1397" spans="1:5" s="16" customFormat="1">
      <c r="A1397" s="17">
        <v>195</v>
      </c>
      <c r="B1397" s="18" t="s">
        <v>1502</v>
      </c>
      <c r="C1397" s="19" t="s">
        <v>2162</v>
      </c>
      <c r="D1397" s="20">
        <f>2244611.54/1000</f>
        <v>2244.6115399999999</v>
      </c>
      <c r="E1397" s="20"/>
    </row>
    <row r="1398" spans="1:5" s="16" customFormat="1">
      <c r="A1398" s="17">
        <v>196</v>
      </c>
      <c r="B1398" s="18" t="s">
        <v>1004</v>
      </c>
      <c r="C1398" s="19" t="s">
        <v>2177</v>
      </c>
      <c r="D1398" s="20">
        <f>2286149.63/1000</f>
        <v>2286.1496299999999</v>
      </c>
      <c r="E1398" s="20"/>
    </row>
    <row r="1399" spans="1:5" s="16" customFormat="1">
      <c r="A1399" s="17">
        <v>197</v>
      </c>
      <c r="B1399" s="18" t="s">
        <v>2518</v>
      </c>
      <c r="C1399" s="19">
        <v>21309199001199</v>
      </c>
      <c r="D1399" s="20">
        <f>2156961.65/1000</f>
        <v>2156.9616499999997</v>
      </c>
      <c r="E1399" s="20"/>
    </row>
    <row r="1400" spans="1:5" s="16" customFormat="1">
      <c r="A1400" s="17">
        <v>198</v>
      </c>
      <c r="B1400" s="18" t="s">
        <v>2273</v>
      </c>
      <c r="C1400" s="19">
        <v>22504199701420</v>
      </c>
      <c r="D1400" s="20">
        <f>2134999.15/1000</f>
        <v>2134.9991500000001</v>
      </c>
      <c r="E1400" s="20"/>
    </row>
    <row r="1401" spans="1:5" s="16" customFormat="1">
      <c r="A1401" s="17">
        <v>199</v>
      </c>
      <c r="B1401" s="18" t="s">
        <v>1268</v>
      </c>
      <c r="C1401" s="19" t="s">
        <v>2178</v>
      </c>
      <c r="D1401" s="20">
        <f>2060935.95/1000</f>
        <v>2060.93595</v>
      </c>
      <c r="E1401" s="20"/>
    </row>
    <row r="1402" spans="1:5" s="16" customFormat="1">
      <c r="A1402" s="17">
        <v>200</v>
      </c>
      <c r="B1402" s="18" t="s">
        <v>2292</v>
      </c>
      <c r="C1402" s="19" t="s">
        <v>2179</v>
      </c>
      <c r="D1402" s="20">
        <f>2048746.72/1000</f>
        <v>2048.7467200000001</v>
      </c>
      <c r="E1402" s="20"/>
    </row>
    <row r="1403" spans="1:5" s="16" customFormat="1">
      <c r="A1403" s="17">
        <v>201</v>
      </c>
      <c r="B1403" s="18" t="s">
        <v>1280</v>
      </c>
      <c r="C1403" s="19" t="s">
        <v>2180</v>
      </c>
      <c r="D1403" s="20">
        <f>2057869.32/1000</f>
        <v>2057.8693200000002</v>
      </c>
      <c r="E1403" s="20"/>
    </row>
    <row r="1404" spans="1:5" s="16" customFormat="1">
      <c r="A1404" s="17">
        <v>202</v>
      </c>
      <c r="B1404" s="18" t="s">
        <v>1193</v>
      </c>
      <c r="C1404" s="19" t="s">
        <v>2181</v>
      </c>
      <c r="D1404" s="20">
        <f>2000410.74/1000</f>
        <v>2000.41074</v>
      </c>
      <c r="E1404" s="20"/>
    </row>
    <row r="1405" spans="1:5" s="16" customFormat="1">
      <c r="A1405" s="17">
        <v>203</v>
      </c>
      <c r="B1405" s="18" t="s">
        <v>1507</v>
      </c>
      <c r="C1405" s="19">
        <v>21711198750080</v>
      </c>
      <c r="D1405" s="20">
        <f>1992902.01/1000</f>
        <v>1992.90201</v>
      </c>
      <c r="E1405" s="20"/>
    </row>
    <row r="1406" spans="1:5" s="16" customFormat="1">
      <c r="A1406" s="17">
        <v>204</v>
      </c>
      <c r="B1406" s="18" t="s">
        <v>1755</v>
      </c>
      <c r="C1406" s="19" t="s">
        <v>2185</v>
      </c>
      <c r="D1406" s="20">
        <f>1983681.84/1000</f>
        <v>1983.6818400000002</v>
      </c>
      <c r="E1406" s="20"/>
    </row>
    <row r="1407" spans="1:5" s="16" customFormat="1">
      <c r="A1407" s="17">
        <v>205</v>
      </c>
      <c r="B1407" s="18" t="s">
        <v>69</v>
      </c>
      <c r="C1407" s="19" t="s">
        <v>2182</v>
      </c>
      <c r="D1407" s="20">
        <f>1960517.06/1000</f>
        <v>1960.5170600000001</v>
      </c>
      <c r="E1407" s="20"/>
    </row>
    <row r="1408" spans="1:5" s="16" customFormat="1">
      <c r="A1408" s="17">
        <v>206</v>
      </c>
      <c r="B1408" s="18" t="s">
        <v>1223</v>
      </c>
      <c r="C1408" s="19" t="s">
        <v>2183</v>
      </c>
      <c r="D1408" s="20">
        <f>1939820.69/1000</f>
        <v>1939.82069</v>
      </c>
      <c r="E1408" s="20"/>
    </row>
    <row r="1409" spans="1:5" s="16" customFormat="1">
      <c r="A1409" s="17">
        <v>207</v>
      </c>
      <c r="B1409" s="18" t="s">
        <v>2556</v>
      </c>
      <c r="C1409" s="19" t="s">
        <v>2184</v>
      </c>
      <c r="D1409" s="20">
        <f>1930616.14/1000</f>
        <v>1930.6161399999999</v>
      </c>
      <c r="E1409" s="20"/>
    </row>
    <row r="1410" spans="1:5" s="16" customFormat="1">
      <c r="A1410" s="17">
        <v>208</v>
      </c>
      <c r="B1410" s="18" t="s">
        <v>1737</v>
      </c>
      <c r="C1410" s="19" t="s">
        <v>2186</v>
      </c>
      <c r="D1410" s="20">
        <f>1864927.25/1000</f>
        <v>1864.92725</v>
      </c>
      <c r="E1410" s="20"/>
    </row>
    <row r="1411" spans="1:5" s="16" customFormat="1">
      <c r="A1411" s="17">
        <v>209</v>
      </c>
      <c r="B1411" s="18" t="s">
        <v>561</v>
      </c>
      <c r="C1411" s="19" t="s">
        <v>2187</v>
      </c>
      <c r="D1411" s="20">
        <f>1868025/1000</f>
        <v>1868.0250000000001</v>
      </c>
      <c r="E1411" s="20"/>
    </row>
    <row r="1412" spans="1:5" s="16" customFormat="1">
      <c r="A1412" s="17">
        <v>210</v>
      </c>
      <c r="B1412" s="18" t="s">
        <v>1184</v>
      </c>
      <c r="C1412" s="19" t="s">
        <v>2193</v>
      </c>
      <c r="D1412" s="20">
        <f>1823429.81/1000</f>
        <v>1823.4298100000001</v>
      </c>
      <c r="E1412" s="20"/>
    </row>
    <row r="1413" spans="1:5" s="16" customFormat="1">
      <c r="A1413" s="17">
        <v>211</v>
      </c>
      <c r="B1413" s="18" t="s">
        <v>2558</v>
      </c>
      <c r="C1413" s="19" t="s">
        <v>2188</v>
      </c>
      <c r="D1413" s="20">
        <f>1812646.14/1000</f>
        <v>1812.6461399999998</v>
      </c>
      <c r="E1413" s="20"/>
    </row>
    <row r="1414" spans="1:5" s="16" customFormat="1">
      <c r="A1414" s="17">
        <v>212</v>
      </c>
      <c r="B1414" s="18" t="s">
        <v>2559</v>
      </c>
      <c r="C1414" s="19" t="s">
        <v>2189</v>
      </c>
      <c r="D1414" s="20">
        <f>1801792/1000</f>
        <v>1801.7919999999999</v>
      </c>
      <c r="E1414" s="20"/>
    </row>
    <row r="1415" spans="1:5" s="16" customFormat="1">
      <c r="A1415" s="17">
        <v>213</v>
      </c>
      <c r="B1415" s="18" t="s">
        <v>1206</v>
      </c>
      <c r="C1415" s="19">
        <v>22009198700887</v>
      </c>
      <c r="D1415" s="20">
        <f>1791480.92/1000</f>
        <v>1791.48092</v>
      </c>
      <c r="E1415" s="20"/>
    </row>
    <row r="1416" spans="1:5" s="16" customFormat="1">
      <c r="A1416" s="17">
        <v>214</v>
      </c>
      <c r="B1416" s="18" t="s">
        <v>1739</v>
      </c>
      <c r="C1416" s="19">
        <v>20404198501998</v>
      </c>
      <c r="D1416" s="20">
        <f>1791648.51/1000</f>
        <v>1791.64851</v>
      </c>
      <c r="E1416" s="20"/>
    </row>
    <row r="1417" spans="1:5" s="16" customFormat="1">
      <c r="A1417" s="17">
        <v>215</v>
      </c>
      <c r="B1417" s="18" t="s">
        <v>2519</v>
      </c>
      <c r="C1417" s="19" t="s">
        <v>2505</v>
      </c>
      <c r="D1417" s="20">
        <f>1791059.64/1000</f>
        <v>1791.0596399999999</v>
      </c>
      <c r="E1417" s="20"/>
    </row>
    <row r="1418" spans="1:5" s="16" customFormat="1">
      <c r="A1418" s="17">
        <v>216</v>
      </c>
      <c r="B1418" s="18" t="s">
        <v>2520</v>
      </c>
      <c r="C1418" s="19" t="s">
        <v>2190</v>
      </c>
      <c r="D1418" s="20">
        <f>1787016.06/1000</f>
        <v>1787.0160600000002</v>
      </c>
      <c r="E1418" s="20"/>
    </row>
    <row r="1419" spans="1:5" s="16" customFormat="1">
      <c r="A1419" s="17">
        <v>217</v>
      </c>
      <c r="B1419" s="18" t="s">
        <v>1248</v>
      </c>
      <c r="C1419" s="19" t="s">
        <v>2191</v>
      </c>
      <c r="D1419" s="20">
        <f>1784582/1000</f>
        <v>1784.5820000000001</v>
      </c>
      <c r="E1419" s="20"/>
    </row>
    <row r="1420" spans="1:5" s="16" customFormat="1">
      <c r="A1420" s="17">
        <v>218</v>
      </c>
      <c r="B1420" s="18" t="s">
        <v>2557</v>
      </c>
      <c r="C1420" s="19" t="s">
        <v>2192</v>
      </c>
      <c r="D1420" s="20">
        <f>1793738/1000</f>
        <v>1793.7380000000001</v>
      </c>
      <c r="E1420" s="20"/>
    </row>
    <row r="1421" spans="1:5" s="16" customFormat="1">
      <c r="A1421" s="17">
        <v>219</v>
      </c>
      <c r="B1421" s="18" t="s">
        <v>1741</v>
      </c>
      <c r="C1421" s="19" t="s">
        <v>2197</v>
      </c>
      <c r="D1421" s="20">
        <f>1742513.11/1000</f>
        <v>1742.5131100000001</v>
      </c>
      <c r="E1421" s="20"/>
    </row>
    <row r="1422" spans="1:5" s="16" customFormat="1">
      <c r="A1422" s="17">
        <v>220</v>
      </c>
      <c r="B1422" s="18" t="s">
        <v>1495</v>
      </c>
      <c r="C1422" s="19">
        <v>12301198900051</v>
      </c>
      <c r="D1422" s="20">
        <f>1735594/1000</f>
        <v>1735.5940000000001</v>
      </c>
      <c r="E1422" s="20"/>
    </row>
    <row r="1423" spans="1:5" s="16" customFormat="1">
      <c r="A1423" s="17">
        <v>221</v>
      </c>
      <c r="B1423" s="18" t="s">
        <v>1738</v>
      </c>
      <c r="C1423" s="19" t="s">
        <v>2195</v>
      </c>
      <c r="D1423" s="20">
        <f>1735936/1000</f>
        <v>1735.9359999999999</v>
      </c>
      <c r="E1423" s="20"/>
    </row>
    <row r="1424" spans="1:5" s="16" customFormat="1">
      <c r="A1424" s="17">
        <v>222</v>
      </c>
      <c r="B1424" s="18" t="s">
        <v>2521</v>
      </c>
      <c r="C1424" s="19" t="s">
        <v>2506</v>
      </c>
      <c r="D1424" s="20">
        <f>1731635.47/1000</f>
        <v>1731.6354699999999</v>
      </c>
      <c r="E1424" s="20"/>
    </row>
    <row r="1425" spans="1:5" s="16" customFormat="1">
      <c r="A1425" s="17">
        <v>223</v>
      </c>
      <c r="B1425" s="18" t="s">
        <v>2522</v>
      </c>
      <c r="C1425" s="19" t="s">
        <v>2507</v>
      </c>
      <c r="D1425" s="20">
        <f>731561.1/1000</f>
        <v>731.56110000000001</v>
      </c>
      <c r="E1425" s="20"/>
    </row>
    <row r="1426" spans="1:5" s="16" customFormat="1">
      <c r="A1426" s="17">
        <v>224</v>
      </c>
      <c r="B1426" s="18" t="s">
        <v>1252</v>
      </c>
      <c r="C1426" s="19" t="s">
        <v>2196</v>
      </c>
      <c r="D1426" s="20">
        <f>1723535.07/1000</f>
        <v>1723.5350700000001</v>
      </c>
      <c r="E1426" s="20"/>
    </row>
    <row r="1427" spans="1:5" s="16" customFormat="1">
      <c r="A1427" s="17">
        <v>225</v>
      </c>
      <c r="B1427" s="18" t="s">
        <v>2560</v>
      </c>
      <c r="C1427" s="19" t="s">
        <v>2198</v>
      </c>
      <c r="D1427" s="20">
        <f>1650857.11/1000</f>
        <v>1650.8571100000001</v>
      </c>
      <c r="E1427" s="20"/>
    </row>
    <row r="1428" spans="1:5" s="16" customFormat="1">
      <c r="A1428" s="17">
        <v>226</v>
      </c>
      <c r="B1428" s="18" t="s">
        <v>2274</v>
      </c>
      <c r="C1428" s="19">
        <v>10810197000113</v>
      </c>
      <c r="D1428" s="20">
        <f>1610519.77/1000</f>
        <v>1610.5197700000001</v>
      </c>
      <c r="E1428" s="20"/>
    </row>
    <row r="1429" spans="1:5" s="16" customFormat="1">
      <c r="A1429" s="17">
        <v>227</v>
      </c>
      <c r="B1429" s="18" t="s">
        <v>1497</v>
      </c>
      <c r="C1429" s="19">
        <v>21506198600281</v>
      </c>
      <c r="D1429" s="20">
        <f>1594026.12/1000</f>
        <v>1594.0261200000002</v>
      </c>
      <c r="E1429" s="20"/>
    </row>
    <row r="1430" spans="1:5" s="16" customFormat="1">
      <c r="A1430" s="17">
        <v>228</v>
      </c>
      <c r="B1430" s="18" t="s">
        <v>1185</v>
      </c>
      <c r="C1430" s="19" t="s">
        <v>2201</v>
      </c>
      <c r="D1430" s="20">
        <f>1571286.07/1000</f>
        <v>1571.2860700000001</v>
      </c>
      <c r="E1430" s="20"/>
    </row>
    <row r="1431" spans="1:5" s="16" customFormat="1">
      <c r="A1431" s="17">
        <v>229</v>
      </c>
      <c r="B1431" s="18" t="s">
        <v>1251</v>
      </c>
      <c r="C1431" s="19" t="s">
        <v>2200</v>
      </c>
      <c r="D1431" s="20">
        <f>1565858/1000</f>
        <v>1565.8579999999999</v>
      </c>
      <c r="E1431" s="20"/>
    </row>
    <row r="1432" spans="1:5" s="16" customFormat="1">
      <c r="A1432" s="17">
        <v>230</v>
      </c>
      <c r="B1432" s="18" t="s">
        <v>1742</v>
      </c>
      <c r="C1432" s="19" t="s">
        <v>2202</v>
      </c>
      <c r="D1432" s="20">
        <f>1542063.72/1000</f>
        <v>1542.0637199999999</v>
      </c>
      <c r="E1432" s="20"/>
    </row>
    <row r="1433" spans="1:5" s="16" customFormat="1">
      <c r="A1433" s="17">
        <v>231</v>
      </c>
      <c r="B1433" s="18" t="s">
        <v>2561</v>
      </c>
      <c r="C1433" s="19" t="s">
        <v>2203</v>
      </c>
      <c r="D1433" s="20">
        <f>1530556/1000</f>
        <v>1530.556</v>
      </c>
      <c r="E1433" s="20"/>
    </row>
    <row r="1434" spans="1:5" s="16" customFormat="1">
      <c r="A1434" s="17">
        <v>232</v>
      </c>
      <c r="B1434" s="18" t="s">
        <v>1496</v>
      </c>
      <c r="C1434" s="19">
        <v>22803197100444</v>
      </c>
      <c r="D1434" s="20">
        <f>1503382.94/1000</f>
        <v>1503.38294</v>
      </c>
      <c r="E1434" s="20"/>
    </row>
    <row r="1435" spans="1:5" s="16" customFormat="1">
      <c r="A1435" s="17">
        <v>233</v>
      </c>
      <c r="B1435" s="18" t="s">
        <v>2268</v>
      </c>
      <c r="C1435" s="19">
        <v>20805196401107</v>
      </c>
      <c r="D1435" s="20">
        <f>1499997/1000</f>
        <v>1499.9970000000001</v>
      </c>
      <c r="E1435" s="20"/>
    </row>
    <row r="1436" spans="1:5" s="16" customFormat="1">
      <c r="A1436" s="17">
        <v>234</v>
      </c>
      <c r="B1436" s="18" t="s">
        <v>999</v>
      </c>
      <c r="C1436" s="19" t="s">
        <v>2194</v>
      </c>
      <c r="D1436" s="20">
        <f>1464371.32/1000</f>
        <v>1464.37132</v>
      </c>
      <c r="E1436" s="20"/>
    </row>
    <row r="1437" spans="1:5" s="16" customFormat="1">
      <c r="A1437" s="17">
        <v>235</v>
      </c>
      <c r="B1437" s="18" t="s">
        <v>998</v>
      </c>
      <c r="C1437" s="19" t="s">
        <v>2204</v>
      </c>
      <c r="D1437" s="20">
        <f>1462450.18/1000</f>
        <v>1462.45018</v>
      </c>
      <c r="E1437" s="20"/>
    </row>
    <row r="1438" spans="1:5" s="16" customFormat="1">
      <c r="A1438" s="17">
        <v>236</v>
      </c>
      <c r="B1438" s="18" t="s">
        <v>1498</v>
      </c>
      <c r="C1438" s="19">
        <v>21608196600431</v>
      </c>
      <c r="D1438" s="20">
        <f>1447238.49/1000</f>
        <v>1447.23849</v>
      </c>
      <c r="E1438" s="20"/>
    </row>
    <row r="1439" spans="1:5" s="16" customFormat="1">
      <c r="A1439" s="17">
        <v>237</v>
      </c>
      <c r="B1439" s="18" t="s">
        <v>1267</v>
      </c>
      <c r="C1439" s="19" t="s">
        <v>2206</v>
      </c>
      <c r="D1439" s="20">
        <f>1538543.85/1000</f>
        <v>1538.54385</v>
      </c>
      <c r="E1439" s="20"/>
    </row>
    <row r="1440" spans="1:5" s="16" customFormat="1">
      <c r="A1440" s="17">
        <v>238</v>
      </c>
      <c r="B1440" s="18" t="s">
        <v>1221</v>
      </c>
      <c r="C1440" s="19">
        <v>11603196901128</v>
      </c>
      <c r="D1440" s="20">
        <f>1422490/1000</f>
        <v>1422.49</v>
      </c>
      <c r="E1440" s="20"/>
    </row>
    <row r="1441" spans="1:5" s="16" customFormat="1">
      <c r="A1441" s="17">
        <v>239</v>
      </c>
      <c r="B1441" s="18" t="s">
        <v>1893</v>
      </c>
      <c r="C1441" s="19" t="s">
        <v>2199</v>
      </c>
      <c r="D1441" s="20">
        <f>1390530.08/1000</f>
        <v>1390.53008</v>
      </c>
      <c r="E1441" s="20"/>
    </row>
    <row r="1442" spans="1:5" s="16" customFormat="1">
      <c r="A1442" s="17">
        <v>240</v>
      </c>
      <c r="B1442" s="18" t="s">
        <v>1743</v>
      </c>
      <c r="C1442" s="19" t="s">
        <v>2207</v>
      </c>
      <c r="D1442" s="20">
        <f>1389705.17/1000</f>
        <v>1389.70517</v>
      </c>
      <c r="E1442" s="20"/>
    </row>
    <row r="1443" spans="1:5" s="16" customFormat="1">
      <c r="A1443" s="17">
        <v>241</v>
      </c>
      <c r="B1443" s="18" t="s">
        <v>1499</v>
      </c>
      <c r="C1443" s="19">
        <v>20501195600843</v>
      </c>
      <c r="D1443" s="20">
        <f>1380000/1000</f>
        <v>1380</v>
      </c>
      <c r="E1443" s="20"/>
    </row>
    <row r="1444" spans="1:5" s="16" customFormat="1">
      <c r="A1444" s="17">
        <v>242</v>
      </c>
      <c r="B1444" s="18" t="s">
        <v>2564</v>
      </c>
      <c r="C1444" s="19" t="s">
        <v>2208</v>
      </c>
      <c r="D1444" s="20">
        <f>1383560.12/1000</f>
        <v>1383.5601200000001</v>
      </c>
      <c r="E1444" s="20"/>
    </row>
    <row r="1445" spans="1:5" s="16" customFormat="1">
      <c r="A1445" s="17">
        <v>243</v>
      </c>
      <c r="B1445" s="18" t="s">
        <v>1203</v>
      </c>
      <c r="C1445" s="19">
        <v>22507198901080</v>
      </c>
      <c r="D1445" s="20">
        <f>1422407.27/1000</f>
        <v>1422.4072699999999</v>
      </c>
      <c r="E1445" s="20"/>
    </row>
    <row r="1446" spans="1:5" s="16" customFormat="1">
      <c r="A1446" s="17">
        <v>244</v>
      </c>
      <c r="B1446" s="18" t="s">
        <v>2523</v>
      </c>
      <c r="C1446" s="19">
        <v>20506196400391</v>
      </c>
      <c r="D1446" s="20">
        <f>1371066.47/1000</f>
        <v>1371.06647</v>
      </c>
      <c r="E1446" s="20"/>
    </row>
    <row r="1447" spans="1:5" s="16" customFormat="1">
      <c r="A1447" s="17">
        <v>245</v>
      </c>
      <c r="B1447" s="18" t="s">
        <v>2565</v>
      </c>
      <c r="C1447" s="19" t="s">
        <v>2209</v>
      </c>
      <c r="D1447" s="20">
        <f>1365418.43/1000</f>
        <v>1365.4184299999999</v>
      </c>
      <c r="E1447" s="20"/>
    </row>
    <row r="1448" spans="1:5" s="16" customFormat="1">
      <c r="A1448" s="17">
        <v>246</v>
      </c>
      <c r="B1448" s="18" t="s">
        <v>2275</v>
      </c>
      <c r="C1448" s="19">
        <v>22910198701847</v>
      </c>
      <c r="D1448" s="20">
        <f>1348892.28/1000</f>
        <v>1348.89228</v>
      </c>
      <c r="E1448" s="20"/>
    </row>
    <row r="1449" spans="1:5" s="16" customFormat="1">
      <c r="A1449" s="17">
        <v>247</v>
      </c>
      <c r="B1449" s="18" t="s">
        <v>1265</v>
      </c>
      <c r="C1449" s="19" t="s">
        <v>2210</v>
      </c>
      <c r="D1449" s="20">
        <f>1335799.59/1000</f>
        <v>1335.7995900000001</v>
      </c>
      <c r="E1449" s="20"/>
    </row>
    <row r="1450" spans="1:5" s="16" customFormat="1">
      <c r="A1450" s="17">
        <v>248</v>
      </c>
      <c r="B1450" s="18" t="s">
        <v>2562</v>
      </c>
      <c r="C1450" s="19" t="s">
        <v>2211</v>
      </c>
      <c r="D1450" s="20">
        <f>1332503.5/1000</f>
        <v>1332.5035</v>
      </c>
      <c r="E1450" s="20"/>
    </row>
    <row r="1451" spans="1:5" s="16" customFormat="1">
      <c r="A1451" s="17">
        <v>249</v>
      </c>
      <c r="B1451" s="18" t="s">
        <v>2563</v>
      </c>
      <c r="C1451" s="19" t="s">
        <v>2508</v>
      </c>
      <c r="D1451" s="20">
        <f>1448860.86/1000</f>
        <v>1448.86086</v>
      </c>
      <c r="E1451" s="20"/>
    </row>
    <row r="1452" spans="1:5" s="16" customFormat="1">
      <c r="A1452" s="17">
        <v>250</v>
      </c>
      <c r="B1452" s="18" t="s">
        <v>1256</v>
      </c>
      <c r="C1452" s="19" t="s">
        <v>2212</v>
      </c>
      <c r="D1452" s="20">
        <f>1310676.82/1000</f>
        <v>1310.6768200000001</v>
      </c>
      <c r="E1452" s="20"/>
    </row>
    <row r="1453" spans="1:5" s="16" customFormat="1">
      <c r="A1453" s="17">
        <v>251</v>
      </c>
      <c r="B1453" s="18" t="s">
        <v>1500</v>
      </c>
      <c r="C1453" s="19">
        <v>20604199401563</v>
      </c>
      <c r="D1453" s="20">
        <f>1311986/1000</f>
        <v>1311.9860000000001</v>
      </c>
      <c r="E1453" s="20"/>
    </row>
    <row r="1454" spans="1:5" s="16" customFormat="1">
      <c r="A1454" s="17">
        <v>252</v>
      </c>
      <c r="B1454" s="18" t="s">
        <v>1501</v>
      </c>
      <c r="C1454" s="19">
        <v>21611198600426</v>
      </c>
      <c r="D1454" s="20">
        <f>1267140/1000</f>
        <v>1267.1400000000001</v>
      </c>
      <c r="E1454" s="20"/>
    </row>
    <row r="1455" spans="1:5" s="16" customFormat="1">
      <c r="A1455" s="17">
        <v>253</v>
      </c>
      <c r="B1455" s="18" t="s">
        <v>1189</v>
      </c>
      <c r="C1455" s="19">
        <v>10501196600875</v>
      </c>
      <c r="D1455" s="20">
        <f>1267195.19/1000</f>
        <v>1267.1951899999999</v>
      </c>
      <c r="E1455" s="20"/>
    </row>
    <row r="1456" spans="1:5" s="16" customFormat="1">
      <c r="A1456" s="17">
        <v>254</v>
      </c>
      <c r="B1456" s="18" t="s">
        <v>1266</v>
      </c>
      <c r="C1456" s="19" t="s">
        <v>2214</v>
      </c>
      <c r="D1456" s="20">
        <f>1262147.9/1000</f>
        <v>1262.1478999999999</v>
      </c>
      <c r="E1456" s="20"/>
    </row>
    <row r="1457" spans="1:5" s="16" customFormat="1">
      <c r="A1457" s="17">
        <v>255</v>
      </c>
      <c r="B1457" s="18" t="s">
        <v>1885</v>
      </c>
      <c r="C1457" s="19">
        <v>20110198701978</v>
      </c>
      <c r="D1457" s="20">
        <f>1252363.81/1000</f>
        <v>1252.3638100000001</v>
      </c>
      <c r="E1457" s="20"/>
    </row>
    <row r="1458" spans="1:5" s="16" customFormat="1">
      <c r="A1458" s="17">
        <v>256</v>
      </c>
      <c r="B1458" s="18" t="s">
        <v>2524</v>
      </c>
      <c r="C1458" s="19" t="s">
        <v>2509</v>
      </c>
      <c r="D1458" s="20">
        <f>1233028.86/1000</f>
        <v>1233.0288600000001</v>
      </c>
      <c r="E1458" s="20"/>
    </row>
    <row r="1459" spans="1:5" s="16" customFormat="1">
      <c r="A1459" s="17">
        <v>257</v>
      </c>
      <c r="B1459" s="18" t="s">
        <v>1220</v>
      </c>
      <c r="C1459" s="19">
        <v>12304198001051</v>
      </c>
      <c r="D1459" s="20">
        <f>1213796/1000</f>
        <v>1213.796</v>
      </c>
      <c r="E1459" s="20"/>
    </row>
    <row r="1460" spans="1:5" s="16" customFormat="1">
      <c r="A1460" s="17">
        <v>258</v>
      </c>
      <c r="B1460" s="18" t="s">
        <v>1211</v>
      </c>
      <c r="C1460" s="19">
        <v>21602198000125</v>
      </c>
      <c r="D1460" s="20">
        <f>1180942/1000</f>
        <v>1180.942</v>
      </c>
      <c r="E1460" s="20"/>
    </row>
    <row r="1461" spans="1:5" s="16" customFormat="1">
      <c r="A1461" s="17">
        <v>259</v>
      </c>
      <c r="B1461" s="18" t="s">
        <v>1503</v>
      </c>
      <c r="C1461" s="19">
        <v>20407198900464</v>
      </c>
      <c r="D1461" s="20">
        <f>1149999.72/1000</f>
        <v>1149.99972</v>
      </c>
      <c r="E1461" s="20"/>
    </row>
    <row r="1462" spans="1:5" s="16" customFormat="1">
      <c r="A1462" s="17">
        <v>260</v>
      </c>
      <c r="B1462" s="18" t="s">
        <v>2540</v>
      </c>
      <c r="C1462" s="19">
        <v>20406198601667</v>
      </c>
      <c r="D1462" s="20">
        <f>844618.99/1000</f>
        <v>844.61898999999994</v>
      </c>
      <c r="E1462" s="20"/>
    </row>
    <row r="1463" spans="1:5" s="16" customFormat="1">
      <c r="A1463" s="17">
        <v>261</v>
      </c>
      <c r="B1463" s="18" t="s">
        <v>1744</v>
      </c>
      <c r="C1463" s="19">
        <v>20504199200993</v>
      </c>
      <c r="D1463" s="20">
        <f>1114885.36/1000</f>
        <v>1114.88536</v>
      </c>
      <c r="E1463" s="20"/>
    </row>
    <row r="1464" spans="1:5" s="16" customFormat="1">
      <c r="A1464" s="17">
        <v>262</v>
      </c>
      <c r="B1464" s="18" t="s">
        <v>1200</v>
      </c>
      <c r="C1464" s="19" t="s">
        <v>2218</v>
      </c>
      <c r="D1464" s="20">
        <f>1092260.62/1000</f>
        <v>1092.26062</v>
      </c>
      <c r="E1464" s="20"/>
    </row>
    <row r="1465" spans="1:5" s="16" customFormat="1">
      <c r="A1465" s="17">
        <v>263</v>
      </c>
      <c r="B1465" s="18" t="s">
        <v>631</v>
      </c>
      <c r="C1465" s="19" t="s">
        <v>2215</v>
      </c>
      <c r="D1465" s="20">
        <f>1096692.08/1000</f>
        <v>1096.69208</v>
      </c>
      <c r="E1465" s="20"/>
    </row>
    <row r="1466" spans="1:5" s="16" customFormat="1">
      <c r="A1466" s="17">
        <v>264</v>
      </c>
      <c r="B1466" s="18" t="s">
        <v>1008</v>
      </c>
      <c r="C1466" s="19">
        <v>20104198000482</v>
      </c>
      <c r="D1466" s="20">
        <f>1069836/1000</f>
        <v>1069.836</v>
      </c>
      <c r="E1466" s="20"/>
    </row>
    <row r="1467" spans="1:5" s="16" customFormat="1">
      <c r="A1467" s="17">
        <v>265</v>
      </c>
      <c r="B1467" s="18" t="s">
        <v>1506</v>
      </c>
      <c r="C1467" s="19">
        <v>22403196000182</v>
      </c>
      <c r="D1467" s="20">
        <f>1101681.51/1000</f>
        <v>1101.6815100000001</v>
      </c>
      <c r="E1467" s="20"/>
    </row>
    <row r="1468" spans="1:5" s="16" customFormat="1">
      <c r="A1468" s="17">
        <v>266</v>
      </c>
      <c r="B1468" s="18" t="s">
        <v>1504</v>
      </c>
      <c r="C1468" s="19">
        <v>22402196501039</v>
      </c>
      <c r="D1468" s="20">
        <f>1061238/1000</f>
        <v>1061.2380000000001</v>
      </c>
      <c r="E1468" s="20"/>
    </row>
    <row r="1469" spans="1:5" s="16" customFormat="1">
      <c r="A1469" s="17">
        <v>267</v>
      </c>
      <c r="B1469" s="18" t="s">
        <v>2568</v>
      </c>
      <c r="C1469" s="19" t="s">
        <v>2216</v>
      </c>
      <c r="D1469" s="20">
        <f>1063319.06/1000</f>
        <v>1063.31906</v>
      </c>
      <c r="E1469" s="20"/>
    </row>
    <row r="1470" spans="1:5" s="16" customFormat="1">
      <c r="A1470" s="17">
        <v>268</v>
      </c>
      <c r="B1470" s="18" t="s">
        <v>1888</v>
      </c>
      <c r="C1470" s="19">
        <v>21307197500325</v>
      </c>
      <c r="D1470" s="20">
        <f>1051339.18/1000</f>
        <v>1051.3391799999999</v>
      </c>
      <c r="E1470" s="20"/>
    </row>
    <row r="1471" spans="1:5" s="16" customFormat="1">
      <c r="A1471" s="17">
        <v>269</v>
      </c>
      <c r="B1471" s="18" t="s">
        <v>2276</v>
      </c>
      <c r="C1471" s="19">
        <v>20609199801444</v>
      </c>
      <c r="D1471" s="20">
        <f>1030617.7/1000</f>
        <v>1030.6177</v>
      </c>
      <c r="E1471" s="20"/>
    </row>
    <row r="1472" spans="1:5" s="16" customFormat="1">
      <c r="A1472" s="17">
        <v>270</v>
      </c>
      <c r="B1472" s="18" t="s">
        <v>1889</v>
      </c>
      <c r="C1472" s="19" t="s">
        <v>2217</v>
      </c>
      <c r="D1472" s="20">
        <f>1027495.67/1000</f>
        <v>1027.49567</v>
      </c>
      <c r="E1472" s="20"/>
    </row>
    <row r="1473" spans="1:5" s="16" customFormat="1">
      <c r="A1473" s="17">
        <v>271</v>
      </c>
      <c r="B1473" s="18" t="s">
        <v>1505</v>
      </c>
      <c r="C1473" s="19">
        <v>23004199000914</v>
      </c>
      <c r="D1473" s="20">
        <f>1011639.1/1000</f>
        <v>1011.6391</v>
      </c>
      <c r="E1473" s="20"/>
    </row>
    <row r="1474" spans="1:5" s="16" customFormat="1">
      <c r="A1474" s="17">
        <v>272</v>
      </c>
      <c r="B1474" s="18" t="s">
        <v>2280</v>
      </c>
      <c r="C1474" s="19" t="s">
        <v>2510</v>
      </c>
      <c r="D1474" s="20">
        <v>984.5</v>
      </c>
      <c r="E1474" s="20"/>
    </row>
    <row r="1475" spans="1:5" s="16" customFormat="1">
      <c r="A1475" s="17">
        <v>273</v>
      </c>
      <c r="B1475" s="18" t="s">
        <v>1210</v>
      </c>
      <c r="C1475" s="19">
        <v>21705198500158</v>
      </c>
      <c r="D1475" s="20">
        <f>962848/1000</f>
        <v>962.84799999999996</v>
      </c>
      <c r="E1475" s="20"/>
    </row>
    <row r="1476" spans="1:5" s="16" customFormat="1">
      <c r="A1476" s="17">
        <v>274</v>
      </c>
      <c r="B1476" s="18" t="s">
        <v>1745</v>
      </c>
      <c r="C1476" s="19" t="s">
        <v>2221</v>
      </c>
      <c r="D1476" s="20">
        <f>958779.18/1000</f>
        <v>958.77918</v>
      </c>
      <c r="E1476" s="20"/>
    </row>
    <row r="1477" spans="1:5" s="16" customFormat="1">
      <c r="A1477" s="17">
        <v>275</v>
      </c>
      <c r="B1477" s="18" t="s">
        <v>1246</v>
      </c>
      <c r="C1477" s="19" t="s">
        <v>2220</v>
      </c>
      <c r="D1477" s="20">
        <f>946028/1000</f>
        <v>946.02800000000002</v>
      </c>
      <c r="E1477" s="20"/>
    </row>
    <row r="1478" spans="1:5" s="16" customFormat="1">
      <c r="A1478" s="17">
        <v>276</v>
      </c>
      <c r="B1478" s="18" t="s">
        <v>2569</v>
      </c>
      <c r="C1478" s="19" t="s">
        <v>2222</v>
      </c>
      <c r="D1478" s="20">
        <f>937236.15/1000</f>
        <v>937.23615000000007</v>
      </c>
      <c r="E1478" s="20"/>
    </row>
    <row r="1479" spans="1:5" s="16" customFormat="1">
      <c r="A1479" s="17">
        <v>277</v>
      </c>
      <c r="B1479" s="18" t="s">
        <v>1202</v>
      </c>
      <c r="C1479" s="19">
        <v>22703198000994</v>
      </c>
      <c r="D1479" s="20">
        <f>936000/1000</f>
        <v>936</v>
      </c>
      <c r="E1479" s="20"/>
    </row>
    <row r="1480" spans="1:5" s="16" customFormat="1">
      <c r="A1480" s="17">
        <v>278</v>
      </c>
      <c r="B1480" s="18" t="s">
        <v>1257</v>
      </c>
      <c r="C1480" s="19" t="s">
        <v>2223</v>
      </c>
      <c r="D1480" s="20">
        <f>932733.48/1000</f>
        <v>932.73347999999999</v>
      </c>
      <c r="E1480" s="20"/>
    </row>
    <row r="1481" spans="1:5" s="16" customFormat="1">
      <c r="A1481" s="17">
        <v>279</v>
      </c>
      <c r="B1481" s="18" t="s">
        <v>1214</v>
      </c>
      <c r="C1481" s="19">
        <v>20701198500741</v>
      </c>
      <c r="D1481" s="20">
        <f>953040/1000</f>
        <v>953.04</v>
      </c>
      <c r="E1481" s="20"/>
    </row>
    <row r="1482" spans="1:5" s="16" customFormat="1">
      <c r="A1482" s="17">
        <v>280</v>
      </c>
      <c r="B1482" s="18" t="s">
        <v>2525</v>
      </c>
      <c r="C1482" s="19" t="s">
        <v>2511</v>
      </c>
      <c r="D1482" s="20">
        <f>915839.76/1000</f>
        <v>915.83975999999996</v>
      </c>
      <c r="E1482" s="20"/>
    </row>
    <row r="1483" spans="1:5" s="16" customFormat="1">
      <c r="A1483" s="17">
        <v>281</v>
      </c>
      <c r="B1483" s="18" t="s">
        <v>1747</v>
      </c>
      <c r="C1483" s="19" t="s">
        <v>2224</v>
      </c>
      <c r="D1483" s="20">
        <f>935477.05/1000</f>
        <v>935.47705000000008</v>
      </c>
      <c r="E1483" s="20"/>
    </row>
    <row r="1484" spans="1:5" s="16" customFormat="1">
      <c r="A1484" s="17">
        <v>282</v>
      </c>
      <c r="B1484" s="18" t="s">
        <v>655</v>
      </c>
      <c r="C1484" s="19" t="s">
        <v>2225</v>
      </c>
      <c r="D1484" s="20">
        <f>908585.48/1000</f>
        <v>908.58547999999996</v>
      </c>
      <c r="E1484" s="20"/>
    </row>
    <row r="1485" spans="1:5" s="16" customFormat="1">
      <c r="A1485" s="17">
        <v>283</v>
      </c>
      <c r="B1485" s="18" t="s">
        <v>2278</v>
      </c>
      <c r="C1485" s="19">
        <v>11405196650021</v>
      </c>
      <c r="D1485" s="20">
        <f>899220.99/1000</f>
        <v>899.22099000000003</v>
      </c>
      <c r="E1485" s="20"/>
    </row>
    <row r="1486" spans="1:5" s="16" customFormat="1">
      <c r="A1486" s="17">
        <v>284</v>
      </c>
      <c r="B1486" s="18" t="s">
        <v>1509</v>
      </c>
      <c r="C1486" s="19">
        <v>22707198200963</v>
      </c>
      <c r="D1486" s="20">
        <f>919128.56/1000</f>
        <v>919.12856000000011</v>
      </c>
      <c r="E1486" s="20"/>
    </row>
    <row r="1487" spans="1:5" s="16" customFormat="1">
      <c r="A1487" s="17">
        <v>285</v>
      </c>
      <c r="B1487" s="18" t="s">
        <v>2279</v>
      </c>
      <c r="C1487" s="19">
        <v>11603197901542</v>
      </c>
      <c r="D1487" s="20">
        <f>877304.69/1000</f>
        <v>877.30468999999994</v>
      </c>
      <c r="E1487" s="20"/>
    </row>
    <row r="1488" spans="1:5" s="16" customFormat="1">
      <c r="A1488" s="17">
        <v>286</v>
      </c>
      <c r="B1488" s="18" t="s">
        <v>2566</v>
      </c>
      <c r="C1488" s="19" t="s">
        <v>2226</v>
      </c>
      <c r="D1488" s="20">
        <f>875758.08/1000</f>
        <v>875.75807999999995</v>
      </c>
      <c r="E1488" s="20"/>
    </row>
    <row r="1489" spans="1:5" s="16" customFormat="1">
      <c r="A1489" s="17">
        <v>287</v>
      </c>
      <c r="B1489" s="18" t="s">
        <v>2567</v>
      </c>
      <c r="C1489" s="19" t="s">
        <v>2227</v>
      </c>
      <c r="D1489" s="20">
        <f>869169.14/1000</f>
        <v>869.16913999999997</v>
      </c>
      <c r="E1489" s="20"/>
    </row>
    <row r="1490" spans="1:5" s="16" customFormat="1">
      <c r="A1490" s="17">
        <v>288</v>
      </c>
      <c r="B1490" s="18" t="s">
        <v>1748</v>
      </c>
      <c r="C1490" s="19">
        <v>22003199700964</v>
      </c>
      <c r="D1490" s="20">
        <f>848751.53/1000</f>
        <v>848.75153</v>
      </c>
      <c r="E1490" s="20"/>
    </row>
    <row r="1491" spans="1:5" s="16" customFormat="1">
      <c r="A1491" s="17">
        <v>289</v>
      </c>
      <c r="B1491" s="18" t="s">
        <v>2571</v>
      </c>
      <c r="C1491" s="19" t="s">
        <v>2228</v>
      </c>
      <c r="D1491" s="20">
        <f>867011.84/1000</f>
        <v>867.01184000000001</v>
      </c>
      <c r="E1491" s="20"/>
    </row>
    <row r="1492" spans="1:5" s="16" customFormat="1">
      <c r="A1492" s="17">
        <v>290</v>
      </c>
      <c r="B1492" s="18" t="s">
        <v>1508</v>
      </c>
      <c r="C1492" s="19">
        <v>22409199301821</v>
      </c>
      <c r="D1492" s="20">
        <f>834834/1000</f>
        <v>834.83399999999995</v>
      </c>
      <c r="E1492" s="20"/>
    </row>
    <row r="1493" spans="1:5" s="16" customFormat="1">
      <c r="A1493" s="17">
        <v>291</v>
      </c>
      <c r="B1493" s="18" t="s">
        <v>1000</v>
      </c>
      <c r="C1493" s="19" t="s">
        <v>2229</v>
      </c>
      <c r="D1493" s="20">
        <f>843349.28/1000</f>
        <v>843.34928000000002</v>
      </c>
      <c r="E1493" s="20"/>
    </row>
    <row r="1494" spans="1:5" s="16" customFormat="1">
      <c r="A1494" s="17">
        <v>292</v>
      </c>
      <c r="B1494" s="18" t="s">
        <v>1746</v>
      </c>
      <c r="C1494" s="19" t="s">
        <v>2230</v>
      </c>
      <c r="D1494" s="20">
        <f>825242.22/1000</f>
        <v>825.24221999999997</v>
      </c>
      <c r="E1494" s="20"/>
    </row>
    <row r="1495" spans="1:5" s="16" customFormat="1">
      <c r="A1495" s="17">
        <v>293</v>
      </c>
      <c r="B1495" s="18" t="s">
        <v>1278</v>
      </c>
      <c r="C1495" s="19" t="s">
        <v>2231</v>
      </c>
      <c r="D1495" s="20">
        <f>822500.8/1000</f>
        <v>822.50080000000003</v>
      </c>
      <c r="E1495" s="20"/>
    </row>
    <row r="1496" spans="1:5" s="16" customFormat="1">
      <c r="A1496" s="17">
        <v>294</v>
      </c>
      <c r="B1496" s="18" t="s">
        <v>2570</v>
      </c>
      <c r="C1496" s="19" t="s">
        <v>2232</v>
      </c>
      <c r="D1496" s="20">
        <f>808556.48/1000</f>
        <v>808.55647999999997</v>
      </c>
      <c r="E1496" s="20"/>
    </row>
    <row r="1497" spans="1:5" s="16" customFormat="1">
      <c r="A1497" s="17">
        <v>295</v>
      </c>
      <c r="B1497" s="18" t="s">
        <v>1216</v>
      </c>
      <c r="C1497" s="19">
        <v>20206196800400</v>
      </c>
      <c r="D1497" s="20">
        <f>802573.64/1000</f>
        <v>802.57364000000007</v>
      </c>
      <c r="E1497" s="20"/>
    </row>
    <row r="1498" spans="1:5" s="16" customFormat="1">
      <c r="A1498" s="17">
        <v>296</v>
      </c>
      <c r="B1498" s="18" t="s">
        <v>1510</v>
      </c>
      <c r="C1498" s="19">
        <v>21810195310030</v>
      </c>
      <c r="D1498" s="20">
        <f>798433/1000</f>
        <v>798.43299999999999</v>
      </c>
      <c r="E1498" s="20"/>
    </row>
    <row r="1499" spans="1:5" s="16" customFormat="1">
      <c r="A1499" s="17">
        <v>297</v>
      </c>
      <c r="B1499" s="18" t="s">
        <v>1754</v>
      </c>
      <c r="C1499" s="19">
        <v>20803198501326</v>
      </c>
      <c r="D1499" s="20">
        <f>786502.03/1000</f>
        <v>786.50202999999999</v>
      </c>
      <c r="E1499" s="20"/>
    </row>
    <row r="1500" spans="1:5" s="16" customFormat="1">
      <c r="A1500" s="17">
        <v>298</v>
      </c>
      <c r="B1500" s="18" t="s">
        <v>1513</v>
      </c>
      <c r="C1500" s="19">
        <v>20402199000364</v>
      </c>
      <c r="D1500" s="20">
        <f>782922.17/1000</f>
        <v>782.92217000000005</v>
      </c>
      <c r="E1500" s="20"/>
    </row>
    <row r="1501" spans="1:5" s="16" customFormat="1">
      <c r="A1501" s="17">
        <v>299</v>
      </c>
      <c r="B1501" s="18" t="s">
        <v>1276</v>
      </c>
      <c r="C1501" s="19" t="s">
        <v>2233</v>
      </c>
      <c r="D1501" s="20">
        <f>782355.85/1000</f>
        <v>782.35585000000003</v>
      </c>
      <c r="E1501" s="20"/>
    </row>
    <row r="1502" spans="1:5" s="16" customFormat="1">
      <c r="A1502" s="17">
        <v>300</v>
      </c>
      <c r="B1502" s="18" t="s">
        <v>1511</v>
      </c>
      <c r="C1502" s="19">
        <v>11105198900998</v>
      </c>
      <c r="D1502" s="20">
        <f>617927.56/1000</f>
        <v>617.92756000000008</v>
      </c>
      <c r="E1502" s="20"/>
    </row>
    <row r="1503" spans="1:5" s="16" customFormat="1">
      <c r="A1503" s="17">
        <v>301</v>
      </c>
      <c r="B1503" s="18" t="s">
        <v>1249</v>
      </c>
      <c r="C1503" s="19" t="s">
        <v>2234</v>
      </c>
      <c r="D1503" s="20">
        <f>773425.81/1000</f>
        <v>773.42581000000007</v>
      </c>
      <c r="E1503" s="20"/>
    </row>
    <row r="1504" spans="1:5" s="16" customFormat="1">
      <c r="A1504" s="17">
        <v>302</v>
      </c>
      <c r="B1504" s="18" t="s">
        <v>1219</v>
      </c>
      <c r="C1504" s="19">
        <v>12706198100530</v>
      </c>
      <c r="D1504" s="20">
        <f>767626/1000</f>
        <v>767.62599999999998</v>
      </c>
      <c r="E1504" s="20"/>
    </row>
    <row r="1505" spans="1:5" s="16" customFormat="1">
      <c r="A1505" s="17">
        <v>303</v>
      </c>
      <c r="B1505" s="18" t="s">
        <v>1516</v>
      </c>
      <c r="C1505" s="19">
        <v>10712196000035</v>
      </c>
      <c r="D1505" s="20">
        <f>764964.01/1000</f>
        <v>764.96401000000003</v>
      </c>
      <c r="E1505" s="20"/>
    </row>
    <row r="1506" spans="1:5" s="16" customFormat="1">
      <c r="A1506" s="17">
        <v>304</v>
      </c>
      <c r="B1506" s="18" t="s">
        <v>1749</v>
      </c>
      <c r="C1506" s="19" t="s">
        <v>2235</v>
      </c>
      <c r="D1506" s="20">
        <f>759312.7/1000</f>
        <v>759.31269999999995</v>
      </c>
      <c r="E1506" s="20"/>
    </row>
    <row r="1507" spans="1:5" s="16" customFormat="1">
      <c r="A1507" s="17">
        <v>305</v>
      </c>
      <c r="B1507" s="18" t="s">
        <v>1275</v>
      </c>
      <c r="C1507" s="19" t="s">
        <v>2236</v>
      </c>
      <c r="D1507" s="20">
        <f>742205.11/1000</f>
        <v>742.20510999999999</v>
      </c>
      <c r="E1507" s="20"/>
    </row>
    <row r="1508" spans="1:5" s="16" customFormat="1">
      <c r="A1508" s="17">
        <v>306</v>
      </c>
      <c r="B1508" s="18" t="s">
        <v>564</v>
      </c>
      <c r="C1508" s="19" t="s">
        <v>2237</v>
      </c>
      <c r="D1508" s="20">
        <f>741133.11/1000</f>
        <v>741.13310999999999</v>
      </c>
      <c r="E1508" s="20"/>
    </row>
    <row r="1509" spans="1:5" s="16" customFormat="1">
      <c r="A1509" s="17">
        <v>307</v>
      </c>
      <c r="B1509" s="18" t="s">
        <v>2572</v>
      </c>
      <c r="C1509" s="19" t="s">
        <v>2238</v>
      </c>
      <c r="D1509" s="20">
        <f>720841/1000</f>
        <v>720.84100000000001</v>
      </c>
      <c r="E1509" s="20"/>
    </row>
    <row r="1510" spans="1:5" s="16" customFormat="1">
      <c r="A1510" s="17">
        <v>308</v>
      </c>
      <c r="B1510" s="18" t="s">
        <v>1512</v>
      </c>
      <c r="C1510" s="19">
        <v>20704195900406</v>
      </c>
      <c r="D1510" s="20">
        <f>714840/1000</f>
        <v>714.84</v>
      </c>
      <c r="E1510" s="20"/>
    </row>
    <row r="1511" spans="1:5" s="16" customFormat="1">
      <c r="A1511" s="17">
        <v>309</v>
      </c>
      <c r="B1511" s="18" t="s">
        <v>2573</v>
      </c>
      <c r="C1511" s="19" t="s">
        <v>2239</v>
      </c>
      <c r="D1511" s="20">
        <f>714781.07/1000</f>
        <v>714.78107</v>
      </c>
      <c r="E1511" s="20"/>
    </row>
    <row r="1512" spans="1:5" s="16" customFormat="1">
      <c r="A1512" s="17">
        <v>310</v>
      </c>
      <c r="B1512" s="18" t="s">
        <v>679</v>
      </c>
      <c r="C1512" s="19" t="s">
        <v>2241</v>
      </c>
      <c r="D1512" s="20">
        <f>714978.61/1000</f>
        <v>714.97861</v>
      </c>
      <c r="E1512" s="20"/>
    </row>
    <row r="1513" spans="1:5" s="16" customFormat="1">
      <c r="A1513" s="17">
        <v>311</v>
      </c>
      <c r="B1513" s="18" t="s">
        <v>1750</v>
      </c>
      <c r="C1513" s="19" t="s">
        <v>2240</v>
      </c>
      <c r="D1513" s="20">
        <f>715547.72/1000</f>
        <v>715.54772000000003</v>
      </c>
      <c r="E1513" s="20"/>
    </row>
    <row r="1514" spans="1:5" s="16" customFormat="1">
      <c r="A1514" s="17">
        <v>312</v>
      </c>
      <c r="B1514" s="18" t="s">
        <v>630</v>
      </c>
      <c r="C1514" s="19" t="s">
        <v>2242</v>
      </c>
      <c r="D1514" s="20">
        <f>715961.77/1000</f>
        <v>715.96177</v>
      </c>
      <c r="E1514" s="20"/>
    </row>
    <row r="1515" spans="1:5" s="16" customFormat="1">
      <c r="A1515" s="17">
        <v>313</v>
      </c>
      <c r="B1515" s="18" t="s">
        <v>2281</v>
      </c>
      <c r="C1515" s="19" t="s">
        <v>2244</v>
      </c>
      <c r="D1515" s="20">
        <f>694915.79/1000</f>
        <v>694.91579000000002</v>
      </c>
      <c r="E1515" s="20"/>
    </row>
    <row r="1516" spans="1:5" s="16" customFormat="1">
      <c r="A1516" s="17">
        <v>314</v>
      </c>
      <c r="B1516" s="18" t="s">
        <v>565</v>
      </c>
      <c r="C1516" s="19" t="s">
        <v>2243</v>
      </c>
      <c r="D1516" s="20">
        <f>708003.34/1000</f>
        <v>708.00333999999998</v>
      </c>
      <c r="E1516" s="20"/>
    </row>
    <row r="1517" spans="1:5" s="16" customFormat="1">
      <c r="A1517" s="17">
        <v>315</v>
      </c>
      <c r="B1517" s="18" t="s">
        <v>1751</v>
      </c>
      <c r="C1517" s="19" t="s">
        <v>2245</v>
      </c>
      <c r="D1517" s="20">
        <f>689864.38/1000</f>
        <v>689.86437999999998</v>
      </c>
      <c r="E1517" s="20"/>
    </row>
    <row r="1518" spans="1:5" s="16" customFormat="1">
      <c r="A1518" s="17">
        <v>316</v>
      </c>
      <c r="B1518" s="18" t="s">
        <v>1207</v>
      </c>
      <c r="C1518" s="19">
        <v>22006199301839</v>
      </c>
      <c r="D1518" s="20">
        <f>677208/1000</f>
        <v>677.20799999999997</v>
      </c>
      <c r="E1518" s="20"/>
    </row>
    <row r="1519" spans="1:5" s="16" customFormat="1">
      <c r="A1519" s="17">
        <v>317</v>
      </c>
      <c r="B1519" s="18" t="s">
        <v>2574</v>
      </c>
      <c r="C1519" s="19" t="s">
        <v>2246</v>
      </c>
      <c r="D1519" s="20">
        <f>677360/1000</f>
        <v>677.36</v>
      </c>
      <c r="E1519" s="20"/>
    </row>
    <row r="1520" spans="1:5" s="16" customFormat="1">
      <c r="A1520" s="17">
        <v>318</v>
      </c>
      <c r="B1520" s="18" t="s">
        <v>1514</v>
      </c>
      <c r="C1520" s="19">
        <v>22206199401994</v>
      </c>
      <c r="D1520" s="20">
        <f>676184.58/1000</f>
        <v>676.18457999999998</v>
      </c>
      <c r="E1520" s="20"/>
    </row>
    <row r="1521" spans="1:5" s="16" customFormat="1">
      <c r="A1521" s="17">
        <v>319</v>
      </c>
      <c r="B1521" s="18" t="s">
        <v>1191</v>
      </c>
      <c r="C1521" s="19" t="s">
        <v>1732</v>
      </c>
      <c r="D1521" s="20">
        <f>670989.51/1000</f>
        <v>670.98951</v>
      </c>
      <c r="E1521" s="20"/>
    </row>
    <row r="1522" spans="1:5" s="16" customFormat="1">
      <c r="A1522" s="17">
        <v>320</v>
      </c>
      <c r="B1522" s="18" t="s">
        <v>2282</v>
      </c>
      <c r="C1522" s="19">
        <v>22509198701200</v>
      </c>
      <c r="D1522" s="20">
        <f>667622.31/1000</f>
        <v>667.62231000000008</v>
      </c>
      <c r="E1522" s="20"/>
    </row>
    <row r="1523" spans="1:5" s="16" customFormat="1">
      <c r="A1523" s="17">
        <v>321</v>
      </c>
      <c r="B1523" s="18" t="s">
        <v>1515</v>
      </c>
      <c r="C1523" s="19">
        <v>20501196200812</v>
      </c>
      <c r="D1523" s="20">
        <f>666202/1000</f>
        <v>666.202</v>
      </c>
      <c r="E1523" s="20"/>
    </row>
    <row r="1524" spans="1:5" s="16" customFormat="1">
      <c r="A1524" s="17">
        <v>322</v>
      </c>
      <c r="B1524" s="18" t="s">
        <v>1289</v>
      </c>
      <c r="C1524" s="19" t="s">
        <v>2247</v>
      </c>
      <c r="D1524" s="20">
        <f>674217.03/1000</f>
        <v>674.21703000000002</v>
      </c>
      <c r="E1524" s="20"/>
    </row>
    <row r="1525" spans="1:5" s="16" customFormat="1">
      <c r="A1525" s="17">
        <v>323</v>
      </c>
      <c r="B1525" s="18" t="s">
        <v>1198</v>
      </c>
      <c r="C1525" s="19">
        <v>20603198000974</v>
      </c>
      <c r="D1525" s="20">
        <f>661711.82/1000</f>
        <v>661.71181999999999</v>
      </c>
      <c r="E1525" s="20"/>
    </row>
    <row r="1526" spans="1:5" s="16" customFormat="1">
      <c r="A1526" s="17">
        <v>324</v>
      </c>
      <c r="B1526" s="18" t="s">
        <v>1517</v>
      </c>
      <c r="C1526" s="19">
        <v>22106198900578</v>
      </c>
      <c r="D1526" s="20">
        <f>660963.6/1000</f>
        <v>660.96359999999993</v>
      </c>
      <c r="E1526" s="20"/>
    </row>
    <row r="1527" spans="1:5" s="16" customFormat="1">
      <c r="A1527" s="17">
        <v>325</v>
      </c>
      <c r="B1527" s="18" t="s">
        <v>1212</v>
      </c>
      <c r="C1527" s="19">
        <v>21601198700355</v>
      </c>
      <c r="D1527" s="20">
        <f>657392/1000</f>
        <v>657.39200000000005</v>
      </c>
      <c r="E1527" s="20"/>
    </row>
    <row r="1528" spans="1:5" s="16" customFormat="1">
      <c r="A1528" s="17">
        <v>326</v>
      </c>
      <c r="B1528" s="18" t="s">
        <v>1244</v>
      </c>
      <c r="C1528" s="19" t="s">
        <v>2248</v>
      </c>
      <c r="D1528" s="20">
        <f>666316.11/1000</f>
        <v>666.31610999999998</v>
      </c>
      <c r="E1528" s="20"/>
    </row>
    <row r="1529" spans="1:5" s="16" customFormat="1">
      <c r="A1529" s="17">
        <v>327</v>
      </c>
      <c r="B1529" s="18" t="s">
        <v>2283</v>
      </c>
      <c r="C1529" s="19">
        <v>12503198400548</v>
      </c>
      <c r="D1529" s="20">
        <f>650387.38/1000</f>
        <v>650.38738000000001</v>
      </c>
      <c r="E1529" s="20"/>
    </row>
    <row r="1530" spans="1:5" s="16" customFormat="1">
      <c r="A1530" s="17">
        <v>328</v>
      </c>
      <c r="B1530" s="18" t="s">
        <v>1272</v>
      </c>
      <c r="C1530" s="19" t="s">
        <v>2249</v>
      </c>
      <c r="D1530" s="20">
        <f>651115.08/1000</f>
        <v>651.11507999999992</v>
      </c>
      <c r="E1530" s="20"/>
    </row>
    <row r="1531" spans="1:5" s="16" customFormat="1">
      <c r="A1531" s="17">
        <v>329</v>
      </c>
      <c r="B1531" s="18" t="s">
        <v>1518</v>
      </c>
      <c r="C1531" s="19">
        <v>21211199700039</v>
      </c>
      <c r="D1531" s="20">
        <f>647667.4/1000</f>
        <v>647.66740000000004</v>
      </c>
      <c r="E1531" s="20"/>
    </row>
    <row r="1532" spans="1:5" s="16" customFormat="1">
      <c r="A1532" s="17">
        <v>330</v>
      </c>
      <c r="B1532" s="18" t="s">
        <v>1291</v>
      </c>
      <c r="C1532" s="19" t="s">
        <v>2250</v>
      </c>
      <c r="D1532" s="20">
        <f>638163.4/1000</f>
        <v>638.16340000000002</v>
      </c>
      <c r="E1532" s="20"/>
    </row>
    <row r="1533" spans="1:5" s="16" customFormat="1">
      <c r="A1533" s="17">
        <v>331</v>
      </c>
      <c r="B1533" s="18" t="s">
        <v>2284</v>
      </c>
      <c r="C1533" s="19">
        <v>21109199600903</v>
      </c>
      <c r="D1533" s="20">
        <f>636706.98/1000</f>
        <v>636.70697999999993</v>
      </c>
      <c r="E1533" s="20"/>
    </row>
    <row r="1534" spans="1:5" s="16" customFormat="1">
      <c r="A1534" s="17">
        <v>332</v>
      </c>
      <c r="B1534" s="18" t="s">
        <v>1519</v>
      </c>
      <c r="C1534" s="19">
        <v>20506199300178</v>
      </c>
      <c r="D1534" s="20">
        <f>628990/1000</f>
        <v>628.99</v>
      </c>
      <c r="E1534" s="20"/>
    </row>
    <row r="1535" spans="1:5" s="16" customFormat="1">
      <c r="A1535" s="17">
        <v>333</v>
      </c>
      <c r="B1535" s="18" t="s">
        <v>2575</v>
      </c>
      <c r="C1535" s="19" t="s">
        <v>2251</v>
      </c>
      <c r="D1535" s="20">
        <f>625969.83/1000</f>
        <v>625.96983</v>
      </c>
      <c r="E1535" s="20"/>
    </row>
    <row r="1536" spans="1:5" s="16" customFormat="1">
      <c r="A1536" s="17">
        <v>334</v>
      </c>
      <c r="B1536" s="18" t="s">
        <v>562</v>
      </c>
      <c r="C1536" s="19" t="s">
        <v>2252</v>
      </c>
      <c r="D1536" s="20">
        <f>625773.61/1000</f>
        <v>625.77360999999996</v>
      </c>
      <c r="E1536" s="20"/>
    </row>
    <row r="1537" spans="1:5" s="16" customFormat="1">
      <c r="A1537" s="17">
        <v>335</v>
      </c>
      <c r="B1537" s="18" t="s">
        <v>1007</v>
      </c>
      <c r="C1537" s="19">
        <v>10901196700672</v>
      </c>
      <c r="D1537" s="20">
        <f>623596.17/1000</f>
        <v>623.59617000000003</v>
      </c>
      <c r="E1537" s="20"/>
    </row>
    <row r="1538" spans="1:5" s="16" customFormat="1">
      <c r="A1538" s="17">
        <v>336</v>
      </c>
      <c r="B1538" s="18" t="s">
        <v>1891</v>
      </c>
      <c r="C1538" s="19">
        <v>21501199300268</v>
      </c>
      <c r="D1538" s="20">
        <f>620792.94/1000</f>
        <v>620.79293999999993</v>
      </c>
      <c r="E1538" s="20"/>
    </row>
    <row r="1539" spans="1:5" s="16" customFormat="1">
      <c r="A1539" s="17">
        <v>337</v>
      </c>
      <c r="B1539" s="18" t="s">
        <v>1241</v>
      </c>
      <c r="C1539" s="19" t="s">
        <v>2253</v>
      </c>
      <c r="D1539" s="20">
        <f>636161.6/1000</f>
        <v>636.16160000000002</v>
      </c>
      <c r="E1539" s="20"/>
    </row>
    <row r="1540" spans="1:5" s="16" customFormat="1">
      <c r="A1540" s="17">
        <v>338</v>
      </c>
      <c r="B1540" s="18" t="s">
        <v>563</v>
      </c>
      <c r="C1540" s="19" t="s">
        <v>2254</v>
      </c>
      <c r="D1540" s="20">
        <f>619392.26/1000</f>
        <v>619.39225999999996</v>
      </c>
      <c r="E1540" s="20"/>
    </row>
    <row r="1541" spans="1:5" s="16" customFormat="1">
      <c r="A1541" s="17">
        <v>339</v>
      </c>
      <c r="B1541" s="18" t="s">
        <v>2526</v>
      </c>
      <c r="C1541" s="19" t="s">
        <v>2512</v>
      </c>
      <c r="D1541" s="20">
        <f>614155.08/1000</f>
        <v>614.15508</v>
      </c>
      <c r="E1541" s="20"/>
    </row>
    <row r="1542" spans="1:5" s="16" customFormat="1">
      <c r="A1542" s="17">
        <v>340</v>
      </c>
      <c r="B1542" s="18" t="s">
        <v>2285</v>
      </c>
      <c r="C1542" s="19" t="s">
        <v>2257</v>
      </c>
      <c r="D1542" s="20">
        <f>619673.9/1000</f>
        <v>619.6739</v>
      </c>
      <c r="E1542" s="20"/>
    </row>
    <row r="1543" spans="1:5" s="16" customFormat="1">
      <c r="A1543" s="17">
        <v>341</v>
      </c>
      <c r="B1543" s="18" t="s">
        <v>1254</v>
      </c>
      <c r="C1543" s="19" t="s">
        <v>2255</v>
      </c>
      <c r="D1543" s="20">
        <f>608389.75/1000</f>
        <v>608.38975000000005</v>
      </c>
      <c r="E1543" s="20"/>
    </row>
    <row r="1544" spans="1:5" s="16" customFormat="1">
      <c r="A1544" s="17">
        <v>342</v>
      </c>
      <c r="B1544" s="18" t="s">
        <v>1894</v>
      </c>
      <c r="C1544" s="19">
        <v>21710197100968</v>
      </c>
      <c r="D1544" s="20">
        <f>605114.77/1000</f>
        <v>605.11477000000002</v>
      </c>
      <c r="E1544" s="20"/>
    </row>
    <row r="1545" spans="1:5" s="16" customFormat="1">
      <c r="A1545" s="17">
        <v>343</v>
      </c>
      <c r="B1545" s="18" t="s">
        <v>1752</v>
      </c>
      <c r="C1545" s="19">
        <v>20110199101786</v>
      </c>
      <c r="D1545" s="20">
        <f>600007.7/1000</f>
        <v>600.0077</v>
      </c>
      <c r="E1545" s="20"/>
    </row>
    <row r="1546" spans="1:5" s="16" customFormat="1">
      <c r="A1546" s="17">
        <v>344</v>
      </c>
      <c r="B1546" s="18" t="s">
        <v>1201</v>
      </c>
      <c r="C1546" s="19" t="s">
        <v>2263</v>
      </c>
      <c r="D1546" s="20">
        <f>601696.85/1000</f>
        <v>601.69684999999993</v>
      </c>
      <c r="E1546" s="20"/>
    </row>
    <row r="1547" spans="1:5" s="16" customFormat="1">
      <c r="A1547" s="17">
        <v>345</v>
      </c>
      <c r="B1547" s="18" t="s">
        <v>1213</v>
      </c>
      <c r="C1547" s="19">
        <v>20809199801402</v>
      </c>
      <c r="D1547" s="20">
        <f>591122.74/1000</f>
        <v>591.12274000000002</v>
      </c>
      <c r="E1547" s="20"/>
    </row>
    <row r="1548" spans="1:5" s="16" customFormat="1">
      <c r="A1548" s="17">
        <v>346</v>
      </c>
      <c r="B1548" s="18" t="s">
        <v>2576</v>
      </c>
      <c r="C1548" s="19" t="s">
        <v>2256</v>
      </c>
      <c r="D1548" s="20">
        <f>590801.95/1000</f>
        <v>590.80194999999992</v>
      </c>
      <c r="E1548" s="20"/>
    </row>
    <row r="1549" spans="1:5" s="16" customFormat="1">
      <c r="A1549" s="17">
        <v>347</v>
      </c>
      <c r="B1549" s="18" t="s">
        <v>1520</v>
      </c>
      <c r="C1549" s="19">
        <v>11101196700470</v>
      </c>
      <c r="D1549" s="20">
        <f>585546/1000</f>
        <v>585.54600000000005</v>
      </c>
      <c r="E1549" s="20"/>
    </row>
    <row r="1550" spans="1:5" s="16" customFormat="1">
      <c r="A1550" s="17">
        <v>348</v>
      </c>
      <c r="B1550" s="18" t="s">
        <v>1283</v>
      </c>
      <c r="C1550" s="19" t="s">
        <v>2258</v>
      </c>
      <c r="D1550" s="20">
        <f>582420.94/1000</f>
        <v>582.42093999999997</v>
      </c>
      <c r="E1550" s="20"/>
    </row>
    <row r="1551" spans="1:5" s="16" customFormat="1">
      <c r="A1551" s="17">
        <v>349</v>
      </c>
      <c r="B1551" s="18" t="s">
        <v>2527</v>
      </c>
      <c r="C1551" s="19" t="s">
        <v>2513</v>
      </c>
      <c r="D1551" s="20">
        <f>582518.48/1000</f>
        <v>582.51847999999995</v>
      </c>
      <c r="E1551" s="20"/>
    </row>
    <row r="1552" spans="1:5" s="16" customFormat="1">
      <c r="A1552" s="17">
        <v>350</v>
      </c>
      <c r="B1552" s="18" t="s">
        <v>1522</v>
      </c>
      <c r="C1552" s="19">
        <v>20312197200557</v>
      </c>
      <c r="D1552" s="20">
        <f>598721.52/1000</f>
        <v>598.72152000000006</v>
      </c>
      <c r="E1552" s="20"/>
    </row>
    <row r="1553" spans="1:5" s="16" customFormat="1">
      <c r="A1553" s="17">
        <v>351</v>
      </c>
      <c r="B1553" s="18" t="s">
        <v>2580</v>
      </c>
      <c r="C1553" s="19" t="s">
        <v>2259</v>
      </c>
      <c r="D1553" s="20">
        <f>568456.48/1000</f>
        <v>568.45647999999994</v>
      </c>
      <c r="E1553" s="20"/>
    </row>
    <row r="1554" spans="1:5" s="16" customFormat="1">
      <c r="A1554" s="17">
        <v>352</v>
      </c>
      <c r="B1554" s="18" t="s">
        <v>1192</v>
      </c>
      <c r="C1554" s="19" t="s">
        <v>2213</v>
      </c>
      <c r="D1554" s="20">
        <f>566966.22/1000</f>
        <v>566.96622000000002</v>
      </c>
      <c r="E1554" s="20"/>
    </row>
    <row r="1555" spans="1:5" s="16" customFormat="1">
      <c r="A1555" s="17">
        <v>353</v>
      </c>
      <c r="B1555" s="18" t="s">
        <v>2577</v>
      </c>
      <c r="C1555" s="19" t="s">
        <v>2260</v>
      </c>
      <c r="D1555" s="20">
        <f>567282.08/1000</f>
        <v>567.28207999999995</v>
      </c>
      <c r="E1555" s="20"/>
    </row>
    <row r="1556" spans="1:5" s="16" customFormat="1">
      <c r="A1556" s="17">
        <v>354</v>
      </c>
      <c r="B1556" s="18" t="s">
        <v>1753</v>
      </c>
      <c r="C1556" s="19">
        <v>21611198700513</v>
      </c>
      <c r="D1556" s="20">
        <f>559835.49/1000</f>
        <v>559.83548999999994</v>
      </c>
      <c r="E1556" s="20"/>
    </row>
    <row r="1557" spans="1:5" s="16" customFormat="1">
      <c r="A1557" s="17">
        <v>355</v>
      </c>
      <c r="B1557" s="18" t="s">
        <v>1525</v>
      </c>
      <c r="C1557" s="19">
        <v>20702199701358</v>
      </c>
      <c r="D1557" s="20">
        <f>559485.52/1000</f>
        <v>559.48552000000007</v>
      </c>
      <c r="E1557" s="20"/>
    </row>
    <row r="1558" spans="1:5" s="16" customFormat="1">
      <c r="A1558" s="17">
        <v>356</v>
      </c>
      <c r="B1558" s="18" t="s">
        <v>2277</v>
      </c>
      <c r="C1558" s="19" t="s">
        <v>2219</v>
      </c>
      <c r="D1558" s="20">
        <f>556593.43/1000</f>
        <v>556.59343000000001</v>
      </c>
      <c r="E1558" s="20"/>
    </row>
    <row r="1559" spans="1:5" s="16" customFormat="1">
      <c r="A1559" s="17">
        <v>357</v>
      </c>
      <c r="B1559" s="18" t="s">
        <v>1208</v>
      </c>
      <c r="C1559" s="19">
        <v>21908196910045</v>
      </c>
      <c r="D1559" s="20">
        <f>561723.29/1000</f>
        <v>561.72329000000002</v>
      </c>
      <c r="E1559" s="20"/>
    </row>
    <row r="1560" spans="1:5" s="16" customFormat="1">
      <c r="A1560" s="17">
        <v>358</v>
      </c>
      <c r="B1560" s="18" t="s">
        <v>1228</v>
      </c>
      <c r="C1560" s="19" t="s">
        <v>2261</v>
      </c>
      <c r="D1560" s="20">
        <f>551253.64/1000</f>
        <v>551.25364000000002</v>
      </c>
      <c r="E1560" s="20"/>
    </row>
    <row r="1561" spans="1:5" s="16" customFormat="1">
      <c r="A1561" s="17">
        <v>359</v>
      </c>
      <c r="B1561" s="18" t="s">
        <v>2578</v>
      </c>
      <c r="C1561" s="19" t="s">
        <v>2262</v>
      </c>
      <c r="D1561" s="20">
        <f>554038.39/1000</f>
        <v>554.03839000000005</v>
      </c>
      <c r="E1561" s="20"/>
    </row>
    <row r="1562" spans="1:5" s="16" customFormat="1">
      <c r="A1562" s="17">
        <v>360</v>
      </c>
      <c r="B1562" s="18" t="s">
        <v>2579</v>
      </c>
      <c r="C1562" s="19" t="s">
        <v>2514</v>
      </c>
      <c r="D1562" s="20">
        <f>549105.6/1000</f>
        <v>549.10559999999998</v>
      </c>
      <c r="E1562" s="20"/>
    </row>
    <row r="1563" spans="1:5" s="16" customFormat="1">
      <c r="A1563" s="17">
        <v>361</v>
      </c>
      <c r="B1563" s="18" t="s">
        <v>1521</v>
      </c>
      <c r="C1563" s="19">
        <v>21511198100382</v>
      </c>
      <c r="D1563" s="20">
        <f>545600/1000</f>
        <v>545.6</v>
      </c>
      <c r="E1563" s="20"/>
    </row>
    <row r="1564" spans="1:5" s="16" customFormat="1">
      <c r="A1564" s="17">
        <v>362</v>
      </c>
      <c r="B1564" s="18" t="s">
        <v>2286</v>
      </c>
      <c r="C1564" s="19">
        <v>22408197000991</v>
      </c>
      <c r="D1564" s="20">
        <f>543178.86/1000</f>
        <v>543.17885999999999</v>
      </c>
      <c r="E1564" s="20"/>
    </row>
    <row r="1565" spans="1:5" s="16" customFormat="1">
      <c r="A1565" s="17">
        <v>363</v>
      </c>
      <c r="B1565" s="18" t="s">
        <v>1526</v>
      </c>
      <c r="C1565" s="19">
        <v>23012199500326</v>
      </c>
      <c r="D1565" s="20">
        <f>541121.23/1000</f>
        <v>541.12122999999997</v>
      </c>
      <c r="E1565" s="20"/>
    </row>
    <row r="1566" spans="1:5" s="16" customFormat="1">
      <c r="A1566" s="17">
        <v>364</v>
      </c>
      <c r="B1566" s="18" t="s">
        <v>534</v>
      </c>
      <c r="C1566" s="19" t="s">
        <v>2264</v>
      </c>
      <c r="D1566" s="20">
        <f>537168.22/1000</f>
        <v>537.16822000000002</v>
      </c>
      <c r="E1566" s="20"/>
    </row>
    <row r="1567" spans="1:5" s="16" customFormat="1">
      <c r="A1567" s="17">
        <v>365</v>
      </c>
      <c r="B1567" s="18" t="s">
        <v>1892</v>
      </c>
      <c r="C1567" s="19" t="s">
        <v>2266</v>
      </c>
      <c r="D1567" s="20">
        <f>536366.54/1000</f>
        <v>536.36653999999999</v>
      </c>
      <c r="E1567" s="20"/>
    </row>
    <row r="1568" spans="1:5" s="16" customFormat="1">
      <c r="A1568" s="17">
        <v>366</v>
      </c>
      <c r="B1568" s="18" t="s">
        <v>1523</v>
      </c>
      <c r="C1568" s="19">
        <v>21512197100593</v>
      </c>
      <c r="D1568" s="20">
        <f>531848.36/1000</f>
        <v>531.84835999999996</v>
      </c>
      <c r="E1568" s="20"/>
    </row>
    <row r="1569" spans="1:5" s="16" customFormat="1">
      <c r="A1569" s="17">
        <v>367</v>
      </c>
      <c r="B1569" s="18" t="s">
        <v>1524</v>
      </c>
      <c r="C1569" s="19">
        <v>21606198800280</v>
      </c>
      <c r="D1569" s="20">
        <f>528271.04/1000</f>
        <v>528.27104000000008</v>
      </c>
      <c r="E1569" s="20"/>
    </row>
    <row r="1570" spans="1:5" s="16" customFormat="1">
      <c r="A1570" s="17">
        <v>368</v>
      </c>
      <c r="B1570" s="18" t="s">
        <v>2541</v>
      </c>
      <c r="C1570" s="19" t="s">
        <v>2265</v>
      </c>
      <c r="D1570" s="20">
        <f>533878/1000</f>
        <v>533.87800000000004</v>
      </c>
      <c r="E1570" s="20"/>
    </row>
    <row r="1571" spans="1:5" s="16" customFormat="1">
      <c r="A1571" s="17">
        <v>369</v>
      </c>
      <c r="B1571" s="18" t="s">
        <v>1012</v>
      </c>
      <c r="C1571" s="19">
        <v>22703198201360</v>
      </c>
      <c r="D1571" s="20">
        <f>523966.06/1000</f>
        <v>523.96605999999997</v>
      </c>
      <c r="E1571" s="20"/>
    </row>
    <row r="1572" spans="1:5" s="16" customFormat="1">
      <c r="A1572" s="17">
        <v>370</v>
      </c>
      <c r="B1572" s="18" t="s">
        <v>2287</v>
      </c>
      <c r="C1572" s="19">
        <v>22108197201042</v>
      </c>
      <c r="D1572" s="20">
        <f>516280.65/1000</f>
        <v>516.28065000000004</v>
      </c>
      <c r="E1572" s="20"/>
    </row>
    <row r="1573" spans="1:5" s="16" customFormat="1">
      <c r="A1573" s="17">
        <v>371</v>
      </c>
      <c r="B1573" s="18" t="s">
        <v>2288</v>
      </c>
      <c r="C1573" s="19">
        <v>22609198101199</v>
      </c>
      <c r="D1573" s="20">
        <f>513184.93/1000</f>
        <v>513.18493000000001</v>
      </c>
      <c r="E1573" s="20"/>
    </row>
    <row r="1574" spans="1:5" s="16" customFormat="1">
      <c r="A1574" s="17">
        <v>372</v>
      </c>
      <c r="B1574" s="18" t="s">
        <v>2528</v>
      </c>
      <c r="C1574" s="19">
        <v>22003198450009</v>
      </c>
      <c r="D1574" s="20">
        <f>505878.02/1000</f>
        <v>505.87801999999999</v>
      </c>
      <c r="E1574" s="20"/>
    </row>
    <row r="1575" spans="1:5" s="16" customFormat="1">
      <c r="A1575" s="17">
        <v>373</v>
      </c>
      <c r="B1575" s="18" t="s">
        <v>2590</v>
      </c>
      <c r="C1575" s="19" t="s">
        <v>2581</v>
      </c>
      <c r="D1575" s="20"/>
      <c r="E1575" s="20">
        <v>69434.640329999995</v>
      </c>
    </row>
    <row r="1576" spans="1:5" s="16" customFormat="1">
      <c r="A1576" s="17">
        <v>374</v>
      </c>
      <c r="B1576" s="18" t="s">
        <v>2592</v>
      </c>
      <c r="C1576" s="19" t="s">
        <v>2582</v>
      </c>
      <c r="D1576" s="20"/>
      <c r="E1576" s="20">
        <v>15885.248280000002</v>
      </c>
    </row>
    <row r="1577" spans="1:5" s="16" customFormat="1">
      <c r="A1577" s="17">
        <v>375</v>
      </c>
      <c r="B1577" s="18" t="s">
        <v>2588</v>
      </c>
      <c r="C1577" s="19" t="s">
        <v>2583</v>
      </c>
      <c r="D1577" s="20"/>
      <c r="E1577" s="20">
        <v>1470.1329099999998</v>
      </c>
    </row>
    <row r="1578" spans="1:5" s="16" customFormat="1">
      <c r="A1578" s="17">
        <v>376</v>
      </c>
      <c r="B1578" s="18" t="s">
        <v>2593</v>
      </c>
      <c r="C1578" s="19" t="s">
        <v>2584</v>
      </c>
      <c r="D1578" s="20"/>
      <c r="E1578" s="20">
        <v>725.07230000000004</v>
      </c>
    </row>
    <row r="1579" spans="1:5" s="16" customFormat="1">
      <c r="A1579" s="17">
        <v>377</v>
      </c>
      <c r="B1579" s="18" t="s">
        <v>2589</v>
      </c>
      <c r="C1579" s="19" t="s">
        <v>2585</v>
      </c>
      <c r="D1579" s="20"/>
      <c r="E1579" s="20">
        <v>718.0310199999999</v>
      </c>
    </row>
    <row r="1580" spans="1:5" s="16" customFormat="1">
      <c r="A1580" s="17">
        <v>378</v>
      </c>
      <c r="B1580" s="18" t="s">
        <v>2591</v>
      </c>
      <c r="C1580" s="19" t="s">
        <v>2586</v>
      </c>
      <c r="D1580" s="20"/>
      <c r="E1580" s="20">
        <v>663.21395999999993</v>
      </c>
    </row>
    <row r="1581" spans="1:5" s="16" customFormat="1" ht="31.5">
      <c r="A1581" s="17">
        <v>379</v>
      </c>
      <c r="B1581" s="18" t="s">
        <v>2594</v>
      </c>
      <c r="C1581" s="19" t="s">
        <v>2587</v>
      </c>
      <c r="D1581" s="20"/>
      <c r="E1581" s="20">
        <v>641.58970999999997</v>
      </c>
    </row>
    <row r="1582" spans="1:5" s="16" customFormat="1">
      <c r="A1582" s="24"/>
      <c r="B1582" s="25" t="s">
        <v>2</v>
      </c>
      <c r="C1582" s="27"/>
      <c r="D1582" s="1">
        <f>SUM(D1203:D1581)</f>
        <v>13173670.807120005</v>
      </c>
      <c r="E1582" s="1">
        <f>SUM(E1203:E1581)</f>
        <v>134369.62850999998</v>
      </c>
    </row>
    <row r="1583" spans="1:5" s="16" customFormat="1">
      <c r="A1583" s="4" t="s">
        <v>1560</v>
      </c>
      <c r="B1583" s="4"/>
      <c r="C1583" s="4"/>
      <c r="D1583" s="4"/>
      <c r="E1583" s="4"/>
    </row>
    <row r="1584" spans="1:5" s="16" customFormat="1">
      <c r="A1584" s="17">
        <v>1</v>
      </c>
      <c r="B1584" s="18" t="s">
        <v>1564</v>
      </c>
      <c r="C1584" s="19" t="s">
        <v>2595</v>
      </c>
      <c r="D1584" s="20">
        <f>396962582/1000</f>
        <v>396962.58199999999</v>
      </c>
      <c r="E1584" s="20"/>
    </row>
    <row r="1585" spans="1:5" s="16" customFormat="1">
      <c r="A1585" s="17">
        <v>2</v>
      </c>
      <c r="B1585" s="18" t="s">
        <v>1677</v>
      </c>
      <c r="C1585" s="19" t="s">
        <v>2596</v>
      </c>
      <c r="D1585" s="20">
        <f>227415344.14/1000</f>
        <v>227415.34413999997</v>
      </c>
      <c r="E1585" s="20"/>
    </row>
    <row r="1586" spans="1:5" s="16" customFormat="1">
      <c r="A1586" s="17">
        <v>3</v>
      </c>
      <c r="B1586" s="18" t="s">
        <v>1561</v>
      </c>
      <c r="C1586" s="19" t="s">
        <v>2597</v>
      </c>
      <c r="D1586" s="20">
        <f>50553851.35/1000</f>
        <v>50553.851350000004</v>
      </c>
      <c r="E1586" s="20"/>
    </row>
    <row r="1587" spans="1:5" s="16" customFormat="1">
      <c r="A1587" s="17">
        <v>4</v>
      </c>
      <c r="B1587" s="18" t="s">
        <v>1562</v>
      </c>
      <c r="C1587" s="19" t="s">
        <v>2598</v>
      </c>
      <c r="D1587" s="20">
        <f>45540593.44/1000</f>
        <v>45540.593439999997</v>
      </c>
      <c r="E1587" s="20"/>
    </row>
    <row r="1588" spans="1:5" s="16" customFormat="1">
      <c r="A1588" s="17">
        <v>5</v>
      </c>
      <c r="B1588" s="18" t="s">
        <v>1563</v>
      </c>
      <c r="C1588" s="19" t="s">
        <v>2599</v>
      </c>
      <c r="D1588" s="20">
        <f>34633778.05/1000</f>
        <v>34633.778049999994</v>
      </c>
      <c r="E1588" s="20"/>
    </row>
    <row r="1589" spans="1:5" s="16" customFormat="1">
      <c r="A1589" s="17">
        <v>6</v>
      </c>
      <c r="B1589" s="18" t="s">
        <v>1664</v>
      </c>
      <c r="C1589" s="19" t="s">
        <v>2600</v>
      </c>
      <c r="D1589" s="20">
        <f>15399022.5/1000</f>
        <v>15399.022499999999</v>
      </c>
      <c r="E1589" s="20"/>
    </row>
    <row r="1590" spans="1:5" s="16" customFormat="1">
      <c r="A1590" s="17">
        <v>7</v>
      </c>
      <c r="B1590" s="18" t="s">
        <v>1565</v>
      </c>
      <c r="C1590" s="19" t="s">
        <v>2601</v>
      </c>
      <c r="D1590" s="20">
        <f>8040498.5/1000</f>
        <v>8040.4984999999997</v>
      </c>
      <c r="E1590" s="20"/>
    </row>
    <row r="1591" spans="1:5" s="16" customFormat="1">
      <c r="A1591" s="24"/>
      <c r="B1591" s="25" t="s">
        <v>2</v>
      </c>
      <c r="C1591" s="27"/>
      <c r="D1591" s="1">
        <f>SUM(D1584:D1590)</f>
        <v>778545.66997999989</v>
      </c>
      <c r="E1591" s="1">
        <f>SUM(E1584:E1590)</f>
        <v>0</v>
      </c>
    </row>
    <row r="1592" spans="1:5" s="15" customFormat="1">
      <c r="A1592" s="4" t="s">
        <v>25</v>
      </c>
      <c r="B1592" s="4"/>
      <c r="C1592" s="4"/>
      <c r="D1592" s="4"/>
      <c r="E1592" s="4"/>
    </row>
    <row r="1593" spans="1:5">
      <c r="A1593" s="17">
        <v>1</v>
      </c>
      <c r="B1593" s="18" t="s">
        <v>3234</v>
      </c>
      <c r="C1593" s="19">
        <v>2604199410037</v>
      </c>
      <c r="D1593" s="20">
        <f>153422434.74/1000</f>
        <v>153422.43474</v>
      </c>
      <c r="E1593" s="20">
        <v>135456.70000000001</v>
      </c>
    </row>
    <row r="1594" spans="1:5">
      <c r="A1594" s="17">
        <v>2</v>
      </c>
      <c r="B1594" s="18" t="s">
        <v>3235</v>
      </c>
      <c r="C1594" s="19">
        <v>1704201710106</v>
      </c>
      <c r="D1594" s="20">
        <f>99323636.26/1000</f>
        <v>99323.636259999999</v>
      </c>
      <c r="E1594" s="20"/>
    </row>
    <row r="1595" spans="1:5">
      <c r="A1595" s="17">
        <v>3</v>
      </c>
      <c r="B1595" s="18" t="s">
        <v>1846</v>
      </c>
      <c r="C1595" s="19">
        <v>2808201210151</v>
      </c>
      <c r="D1595" s="20">
        <f>58124786.2/1000</f>
        <v>58124.786200000002</v>
      </c>
      <c r="E1595" s="20"/>
    </row>
    <row r="1596" spans="1:5">
      <c r="A1596" s="17">
        <v>4</v>
      </c>
      <c r="B1596" s="18" t="s">
        <v>1665</v>
      </c>
      <c r="C1596" s="19">
        <v>506200710052</v>
      </c>
      <c r="D1596" s="20">
        <f>55442878.35/1000</f>
        <v>55442.878349999999</v>
      </c>
      <c r="E1596" s="20"/>
    </row>
    <row r="1597" spans="1:5">
      <c r="A1597" s="17">
        <v>5</v>
      </c>
      <c r="B1597" s="18" t="s">
        <v>3236</v>
      </c>
      <c r="C1597" s="19">
        <v>2710200610062</v>
      </c>
      <c r="D1597" s="20">
        <f>32400731.92/1000</f>
        <v>32400.731920000002</v>
      </c>
      <c r="E1597" s="20"/>
    </row>
    <row r="1598" spans="1:5">
      <c r="A1598" s="17">
        <v>6</v>
      </c>
      <c r="B1598" s="18" t="s">
        <v>3232</v>
      </c>
      <c r="C1598" s="19">
        <v>2104199310050</v>
      </c>
      <c r="D1598" s="20">
        <f>1485936.31/1000</f>
        <v>1485.93631</v>
      </c>
      <c r="E1598" s="20">
        <v>684.4</v>
      </c>
    </row>
    <row r="1599" spans="1:5">
      <c r="A1599" s="17">
        <v>7</v>
      </c>
      <c r="B1599" s="18" t="s">
        <v>2330</v>
      </c>
      <c r="C1599" s="19">
        <v>1104201610038</v>
      </c>
      <c r="D1599" s="20">
        <f>609336.62/1000</f>
        <v>609.33662000000004</v>
      </c>
      <c r="E1599" s="20">
        <v>3274.5</v>
      </c>
    </row>
    <row r="1600" spans="1:5">
      <c r="A1600" s="17">
        <v>8</v>
      </c>
      <c r="B1600" s="18" t="s">
        <v>3237</v>
      </c>
      <c r="C1600" s="19">
        <v>1607199710061</v>
      </c>
      <c r="D1600" s="20">
        <f>2597696.23/1000</f>
        <v>2597.69623</v>
      </c>
      <c r="E1600" s="20"/>
    </row>
    <row r="1601" spans="1:5">
      <c r="A1601" s="17">
        <v>9</v>
      </c>
      <c r="B1601" s="18" t="s">
        <v>3233</v>
      </c>
      <c r="C1601" s="19">
        <v>1010201710197</v>
      </c>
      <c r="D1601" s="20">
        <f>1753766.27/1000</f>
        <v>1753.7662700000001</v>
      </c>
      <c r="E1601" s="20"/>
    </row>
    <row r="1602" spans="1:5">
      <c r="A1602" s="17">
        <v>10</v>
      </c>
      <c r="B1602" s="18" t="s">
        <v>2331</v>
      </c>
      <c r="C1602" s="19">
        <v>2701201010033</v>
      </c>
      <c r="D1602" s="20">
        <f>1531221.74/1000</f>
        <v>1531.22174</v>
      </c>
      <c r="E1602" s="20"/>
    </row>
    <row r="1603" spans="1:5">
      <c r="A1603" s="17">
        <v>11</v>
      </c>
      <c r="B1603" s="18" t="s">
        <v>1544</v>
      </c>
      <c r="C1603" s="19">
        <v>62601202310552</v>
      </c>
      <c r="D1603" s="20">
        <f>1487228.58/1000</f>
        <v>1487.22858</v>
      </c>
      <c r="E1603" s="20"/>
    </row>
    <row r="1604" spans="1:5">
      <c r="A1604" s="17">
        <v>12</v>
      </c>
      <c r="B1604" s="18" t="s">
        <v>2486</v>
      </c>
      <c r="C1604" s="19">
        <v>2102200010047</v>
      </c>
      <c r="D1604" s="20">
        <f>1325611.31/1000</f>
        <v>1325.61131</v>
      </c>
      <c r="E1604" s="20">
        <v>17526</v>
      </c>
    </row>
    <row r="1605" spans="1:5">
      <c r="A1605" s="17">
        <v>13</v>
      </c>
      <c r="B1605" s="18" t="s">
        <v>3238</v>
      </c>
      <c r="C1605" s="19">
        <v>1509199910140</v>
      </c>
      <c r="D1605" s="20">
        <f>1224157/1000</f>
        <v>1224.1569999999999</v>
      </c>
      <c r="E1605" s="20"/>
    </row>
    <row r="1606" spans="1:5">
      <c r="A1606" s="17">
        <v>14</v>
      </c>
      <c r="B1606" s="18" t="s">
        <v>2332</v>
      </c>
      <c r="C1606" s="19">
        <v>61406202210018</v>
      </c>
      <c r="D1606" s="20">
        <f>823534.91/1000</f>
        <v>823.53491000000008</v>
      </c>
      <c r="E1606" s="20"/>
    </row>
    <row r="1607" spans="1:5">
      <c r="A1607" s="17">
        <v>15</v>
      </c>
      <c r="B1607" s="18" t="s">
        <v>3241</v>
      </c>
      <c r="C1607" s="19" t="s">
        <v>3239</v>
      </c>
      <c r="D1607" s="20"/>
      <c r="E1607" s="20">
        <v>38981.284380000012</v>
      </c>
    </row>
    <row r="1608" spans="1:5">
      <c r="A1608" s="17">
        <v>16</v>
      </c>
      <c r="B1608" s="18" t="s">
        <v>3242</v>
      </c>
      <c r="C1608" s="19" t="s">
        <v>3240</v>
      </c>
      <c r="D1608" s="20"/>
      <c r="E1608" s="20">
        <v>510.64240999999998</v>
      </c>
    </row>
    <row r="1609" spans="1:5">
      <c r="A1609" s="34"/>
      <c r="B1609" s="25" t="s">
        <v>2</v>
      </c>
      <c r="C1609" s="34"/>
      <c r="D1609" s="35">
        <f>SUM(D1593:D1608)</f>
        <v>411552.95644000004</v>
      </c>
      <c r="E1609" s="35">
        <f>SUM(E1593:E1608)</f>
        <v>196433.52679</v>
      </c>
    </row>
    <row r="1610" spans="1:5">
      <c r="A1610" s="4" t="s">
        <v>1586</v>
      </c>
      <c r="B1610" s="4"/>
      <c r="C1610" s="4"/>
      <c r="D1610" s="4"/>
      <c r="E1610" s="4"/>
    </row>
    <row r="1611" spans="1:5">
      <c r="A1611" s="17">
        <v>1</v>
      </c>
      <c r="B1611" s="18" t="s">
        <v>3243</v>
      </c>
      <c r="C1611" s="19">
        <v>1310202010065</v>
      </c>
      <c r="D1611" s="20">
        <f>4035822.04/1000</f>
        <v>4035.82204</v>
      </c>
      <c r="E1611" s="20"/>
    </row>
    <row r="1612" spans="1:5">
      <c r="A1612" s="17">
        <v>2</v>
      </c>
      <c r="B1612" s="18" t="s">
        <v>3244</v>
      </c>
      <c r="C1612" s="19">
        <v>1807199410019</v>
      </c>
      <c r="D1612" s="20">
        <f>2007638.61/1000</f>
        <v>2007.6386100000002</v>
      </c>
      <c r="E1612" s="20"/>
    </row>
    <row r="1613" spans="1:5">
      <c r="A1613" s="17">
        <v>3</v>
      </c>
      <c r="B1613" s="18" t="s">
        <v>3245</v>
      </c>
      <c r="C1613" s="19">
        <v>2205199510039</v>
      </c>
      <c r="D1613" s="20">
        <f>2115759.99/1000</f>
        <v>2115.75999</v>
      </c>
      <c r="E1613" s="20"/>
    </row>
    <row r="1614" spans="1:5">
      <c r="A1614" s="34"/>
      <c r="B1614" s="25" t="s">
        <v>2</v>
      </c>
      <c r="C1614" s="34"/>
      <c r="D1614" s="35">
        <f>SUM(D1611:D1613)</f>
        <v>8159.2206399999995</v>
      </c>
      <c r="E1614" s="35">
        <f>SUM(E1611:E1613)</f>
        <v>0</v>
      </c>
    </row>
    <row r="1615" spans="1:5" s="15" customFormat="1">
      <c r="A1615" s="4" t="s">
        <v>9</v>
      </c>
      <c r="B1615" s="4"/>
      <c r="C1615" s="4"/>
      <c r="D1615" s="4"/>
      <c r="E1615" s="4"/>
    </row>
    <row r="1616" spans="1:5">
      <c r="A1616" s="17">
        <v>1</v>
      </c>
      <c r="B1616" s="18" t="s">
        <v>1336</v>
      </c>
      <c r="C1616" s="19">
        <v>1401201910304</v>
      </c>
      <c r="D1616" s="20">
        <f>239544550/1000</f>
        <v>239544.55</v>
      </c>
      <c r="E1616" s="20"/>
    </row>
    <row r="1617" spans="1:5">
      <c r="A1617" s="17">
        <v>2</v>
      </c>
      <c r="B1617" s="18" t="s">
        <v>1337</v>
      </c>
      <c r="C1617" s="19">
        <v>1703201110067</v>
      </c>
      <c r="D1617" s="20">
        <f>110632065.88/1000</f>
        <v>110632.06587999999</v>
      </c>
      <c r="E1617" s="20"/>
    </row>
    <row r="1618" spans="1:5">
      <c r="A1618" s="17">
        <v>3</v>
      </c>
      <c r="B1618" s="18" t="s">
        <v>1757</v>
      </c>
      <c r="C1618" s="19">
        <v>509202210429</v>
      </c>
      <c r="D1618" s="20">
        <f>87050322.27/1000</f>
        <v>87050.32226999999</v>
      </c>
      <c r="E1618" s="20"/>
    </row>
    <row r="1619" spans="1:5">
      <c r="A1619" s="17">
        <v>4</v>
      </c>
      <c r="B1619" s="18" t="s">
        <v>1923</v>
      </c>
      <c r="C1619" s="19">
        <v>1802201310110</v>
      </c>
      <c r="D1619" s="20">
        <f>59319174.62/1000</f>
        <v>59319.174619999998</v>
      </c>
      <c r="E1619" s="20"/>
    </row>
    <row r="1620" spans="1:5">
      <c r="A1620" s="17">
        <v>5</v>
      </c>
      <c r="B1620" s="18" t="s">
        <v>2462</v>
      </c>
      <c r="C1620" s="19">
        <v>101199110105</v>
      </c>
      <c r="D1620" s="20">
        <f>34586500.53/1000</f>
        <v>34586.500530000005</v>
      </c>
      <c r="E1620" s="20"/>
    </row>
    <row r="1621" spans="1:5">
      <c r="A1621" s="17">
        <v>6</v>
      </c>
      <c r="B1621" s="18" t="s">
        <v>1856</v>
      </c>
      <c r="C1621" s="19">
        <v>811201610193</v>
      </c>
      <c r="D1621" s="20">
        <f>29975797.82/1000</f>
        <v>29975.79782</v>
      </c>
      <c r="E1621" s="20"/>
    </row>
    <row r="1622" spans="1:5">
      <c r="A1622" s="17">
        <v>7</v>
      </c>
      <c r="B1622" s="18" t="s">
        <v>1666</v>
      </c>
      <c r="C1622" s="19">
        <v>311201810203</v>
      </c>
      <c r="D1622" s="20">
        <f>27194311.53/1000</f>
        <v>27194.311530000003</v>
      </c>
      <c r="E1622" s="20"/>
    </row>
    <row r="1623" spans="1:5">
      <c r="A1623" s="17">
        <v>8</v>
      </c>
      <c r="B1623" s="18" t="s">
        <v>1338</v>
      </c>
      <c r="C1623" s="19">
        <v>20109198800342</v>
      </c>
      <c r="D1623" s="20">
        <f>27047904.94/1000</f>
        <v>27047.90494</v>
      </c>
      <c r="E1623" s="20"/>
    </row>
    <row r="1624" spans="1:5">
      <c r="A1624" s="17">
        <v>9</v>
      </c>
      <c r="B1624" s="18" t="s">
        <v>1339</v>
      </c>
      <c r="C1624" s="19">
        <v>2606201810156</v>
      </c>
      <c r="D1624" s="20">
        <f>27002756/1000</f>
        <v>27002.756000000001</v>
      </c>
      <c r="E1624" s="20"/>
    </row>
    <row r="1625" spans="1:5">
      <c r="A1625" s="17">
        <v>10</v>
      </c>
      <c r="B1625" s="18" t="s">
        <v>1857</v>
      </c>
      <c r="C1625" s="19">
        <v>205199610074</v>
      </c>
      <c r="D1625" s="20">
        <f>25805561.89/1000</f>
        <v>25805.561890000001</v>
      </c>
      <c r="E1625" s="20"/>
    </row>
    <row r="1626" spans="1:5">
      <c r="A1626" s="17">
        <v>11</v>
      </c>
      <c r="B1626" s="18" t="s">
        <v>1340</v>
      </c>
      <c r="C1626" s="19">
        <v>2702201710180</v>
      </c>
      <c r="D1626" s="20">
        <f>17130960/1000</f>
        <v>17130.96</v>
      </c>
      <c r="E1626" s="20"/>
    </row>
    <row r="1627" spans="1:5">
      <c r="A1627" s="17">
        <v>12</v>
      </c>
      <c r="B1627" s="18" t="s">
        <v>1341</v>
      </c>
      <c r="C1627" s="19">
        <v>21211199350018</v>
      </c>
      <c r="D1627" s="20">
        <f>15765801.73/1000</f>
        <v>15765.801730000001</v>
      </c>
      <c r="E1627" s="20"/>
    </row>
    <row r="1628" spans="1:5">
      <c r="A1628" s="17">
        <v>13</v>
      </c>
      <c r="B1628" s="18" t="s">
        <v>234</v>
      </c>
      <c r="C1628" s="19">
        <v>22609196300226</v>
      </c>
      <c r="D1628" s="20">
        <f>15205583.86/1000</f>
        <v>15205.583859999999</v>
      </c>
      <c r="E1628" s="20"/>
    </row>
    <row r="1629" spans="1:5">
      <c r="A1629" s="17">
        <v>14</v>
      </c>
      <c r="B1629" s="18" t="s">
        <v>3143</v>
      </c>
      <c r="C1629" s="19">
        <v>712200410209</v>
      </c>
      <c r="D1629" s="20">
        <f>14217568.35/1000</f>
        <v>14217.56835</v>
      </c>
      <c r="E1629" s="20"/>
    </row>
    <row r="1630" spans="1:5">
      <c r="A1630" s="17">
        <v>15</v>
      </c>
      <c r="B1630" s="18" t="s">
        <v>1343</v>
      </c>
      <c r="C1630" s="19">
        <v>22803198400483</v>
      </c>
      <c r="D1630" s="20">
        <f>12679171.96/1000</f>
        <v>12679.171960000001</v>
      </c>
      <c r="E1630" s="20"/>
    </row>
    <row r="1631" spans="1:5">
      <c r="A1631" s="17">
        <v>16</v>
      </c>
      <c r="B1631" s="18" t="s">
        <v>1342</v>
      </c>
      <c r="C1631" s="19">
        <v>2702201710111</v>
      </c>
      <c r="D1631" s="20">
        <f>11933372/1000</f>
        <v>11933.371999999999</v>
      </c>
      <c r="E1631" s="20"/>
    </row>
    <row r="1632" spans="1:5">
      <c r="A1632" s="17">
        <v>17</v>
      </c>
      <c r="B1632" s="18" t="s">
        <v>1344</v>
      </c>
      <c r="C1632" s="19">
        <v>21606196710026</v>
      </c>
      <c r="D1632" s="20">
        <f>11503489.98/1000</f>
        <v>11503.48998</v>
      </c>
      <c r="E1632" s="20"/>
    </row>
    <row r="1633" spans="1:5">
      <c r="A1633" s="17">
        <v>18</v>
      </c>
      <c r="B1633" s="18" t="s">
        <v>1858</v>
      </c>
      <c r="C1633" s="19">
        <v>1607199810085</v>
      </c>
      <c r="D1633" s="20">
        <f>10986144.42/1000</f>
        <v>10986.144420000001</v>
      </c>
      <c r="E1633" s="20"/>
    </row>
    <row r="1634" spans="1:5">
      <c r="A1634" s="17">
        <v>19</v>
      </c>
      <c r="B1634" s="18" t="s">
        <v>1345</v>
      </c>
      <c r="C1634" s="19">
        <v>22007197100225</v>
      </c>
      <c r="D1634" s="20">
        <f>10517172/1000</f>
        <v>10517.172</v>
      </c>
      <c r="E1634" s="20"/>
    </row>
    <row r="1635" spans="1:5">
      <c r="A1635" s="17">
        <v>20</v>
      </c>
      <c r="B1635" s="18" t="s">
        <v>1346</v>
      </c>
      <c r="C1635" s="19">
        <v>22301199301769</v>
      </c>
      <c r="D1635" s="20">
        <f>10258733.04/1000</f>
        <v>10258.733039999999</v>
      </c>
      <c r="E1635" s="20"/>
    </row>
    <row r="1636" spans="1:5">
      <c r="A1636" s="17">
        <v>21</v>
      </c>
      <c r="B1636" s="18" t="s">
        <v>1348</v>
      </c>
      <c r="C1636" s="19">
        <v>20804198001468</v>
      </c>
      <c r="D1636" s="20">
        <f>9704923.41/1000</f>
        <v>9704.9234099999994</v>
      </c>
      <c r="E1636" s="20"/>
    </row>
    <row r="1637" spans="1:5">
      <c r="A1637" s="17">
        <v>22</v>
      </c>
      <c r="B1637" s="18" t="s">
        <v>3252</v>
      </c>
      <c r="C1637" s="19">
        <v>604200910011</v>
      </c>
      <c r="D1637" s="20">
        <f>9575354.46/1000</f>
        <v>9575.3544600000005</v>
      </c>
      <c r="E1637" s="20"/>
    </row>
    <row r="1638" spans="1:5">
      <c r="A1638" s="17">
        <v>23</v>
      </c>
      <c r="B1638" s="18" t="s">
        <v>1347</v>
      </c>
      <c r="C1638" s="19">
        <v>22701199101270</v>
      </c>
      <c r="D1638" s="20">
        <f>9017834/1000</f>
        <v>9017.8340000000007</v>
      </c>
      <c r="E1638" s="20"/>
    </row>
    <row r="1639" spans="1:5">
      <c r="A1639" s="17">
        <v>24</v>
      </c>
      <c r="B1639" s="18" t="s">
        <v>1349</v>
      </c>
      <c r="C1639" s="19">
        <v>22909199101397</v>
      </c>
      <c r="D1639" s="20">
        <f>8343592.34/1000</f>
        <v>8343.5923399999992</v>
      </c>
      <c r="E1639" s="20"/>
    </row>
    <row r="1640" spans="1:5">
      <c r="A1640" s="17">
        <v>25</v>
      </c>
      <c r="B1640" s="18" t="s">
        <v>3246</v>
      </c>
      <c r="C1640" s="19">
        <v>20801198201144</v>
      </c>
      <c r="D1640" s="20">
        <f>7676473.09/1000</f>
        <v>7676.4730899999995</v>
      </c>
      <c r="E1640" s="20"/>
    </row>
    <row r="1641" spans="1:5">
      <c r="A1641" s="17">
        <v>26</v>
      </c>
      <c r="B1641" s="18" t="s">
        <v>1350</v>
      </c>
      <c r="C1641" s="19">
        <v>22001196900113</v>
      </c>
      <c r="D1641" s="20">
        <f>7603200/1000</f>
        <v>7603.2</v>
      </c>
      <c r="E1641" s="20"/>
    </row>
    <row r="1642" spans="1:5">
      <c r="A1642" s="17">
        <v>27</v>
      </c>
      <c r="B1642" s="18" t="s">
        <v>1351</v>
      </c>
      <c r="C1642" s="19">
        <v>3011201710011</v>
      </c>
      <c r="D1642" s="20">
        <f>7273182.22/1000</f>
        <v>7273.1822199999997</v>
      </c>
      <c r="E1642" s="20"/>
    </row>
    <row r="1643" spans="1:5">
      <c r="A1643" s="17">
        <v>28</v>
      </c>
      <c r="B1643" s="18" t="s">
        <v>1352</v>
      </c>
      <c r="C1643" s="19">
        <v>2907201610180</v>
      </c>
      <c r="D1643" s="20">
        <f>6644938/1000</f>
        <v>6644.9380000000001</v>
      </c>
      <c r="E1643" s="20"/>
    </row>
    <row r="1644" spans="1:5">
      <c r="A1644" s="17">
        <v>29</v>
      </c>
      <c r="B1644" s="18" t="s">
        <v>1354</v>
      </c>
      <c r="C1644" s="19">
        <v>10412198400135</v>
      </c>
      <c r="D1644" s="20">
        <f>6138677.4/1000</f>
        <v>6138.6774000000005</v>
      </c>
      <c r="E1644" s="20"/>
    </row>
    <row r="1645" spans="1:5">
      <c r="A1645" s="17">
        <v>30</v>
      </c>
      <c r="B1645" s="18" t="s">
        <v>2463</v>
      </c>
      <c r="C1645" s="19">
        <v>1207200110064</v>
      </c>
      <c r="D1645" s="20">
        <f>5985156.77/1000</f>
        <v>5985.1567699999996</v>
      </c>
      <c r="E1645" s="20"/>
    </row>
    <row r="1646" spans="1:5">
      <c r="A1646" s="17">
        <v>31</v>
      </c>
      <c r="B1646" s="18" t="s">
        <v>1356</v>
      </c>
      <c r="C1646" s="19">
        <v>12510196400442</v>
      </c>
      <c r="D1646" s="20">
        <f>6039427.15/1000</f>
        <v>6039.4271500000004</v>
      </c>
      <c r="E1646" s="20"/>
    </row>
    <row r="1647" spans="1:5">
      <c r="A1647" s="17">
        <v>32</v>
      </c>
      <c r="B1647" s="18" t="s">
        <v>1355</v>
      </c>
      <c r="C1647" s="19">
        <v>609201610032</v>
      </c>
      <c r="D1647" s="20">
        <f>5579118/1000</f>
        <v>5579.1180000000004</v>
      </c>
      <c r="E1647" s="20"/>
    </row>
    <row r="1648" spans="1:5">
      <c r="A1648" s="17">
        <v>33</v>
      </c>
      <c r="B1648" s="18" t="s">
        <v>1357</v>
      </c>
      <c r="C1648" s="19">
        <v>22005195301063</v>
      </c>
      <c r="D1648" s="20">
        <f>5000903.98/1000</f>
        <v>5000.90398</v>
      </c>
      <c r="E1648" s="20"/>
    </row>
    <row r="1649" spans="1:5">
      <c r="A1649" s="17">
        <v>34</v>
      </c>
      <c r="B1649" s="18" t="s">
        <v>1358</v>
      </c>
      <c r="C1649" s="19">
        <v>12806197100524</v>
      </c>
      <c r="D1649" s="20">
        <f>5013992/1000</f>
        <v>5013.9920000000002</v>
      </c>
      <c r="E1649" s="20"/>
    </row>
    <row r="1650" spans="1:5">
      <c r="A1650" s="17">
        <v>35</v>
      </c>
      <c r="B1650" s="18" t="s">
        <v>1134</v>
      </c>
      <c r="C1650" s="19">
        <v>22504196500673</v>
      </c>
      <c r="D1650" s="20">
        <f>4971400/1000</f>
        <v>4971.3999999999996</v>
      </c>
      <c r="E1650" s="20"/>
    </row>
    <row r="1651" spans="1:5">
      <c r="A1651" s="17">
        <v>36</v>
      </c>
      <c r="B1651" s="18" t="s">
        <v>1756</v>
      </c>
      <c r="C1651" s="19">
        <v>1403202210023</v>
      </c>
      <c r="D1651" s="20">
        <f>4635134.89/1000</f>
        <v>4635.1348899999994</v>
      </c>
      <c r="E1651" s="20"/>
    </row>
    <row r="1652" spans="1:5">
      <c r="A1652" s="17">
        <v>37</v>
      </c>
      <c r="B1652" s="18" t="s">
        <v>2009</v>
      </c>
      <c r="C1652" s="19">
        <v>1304202210203</v>
      </c>
      <c r="D1652" s="20">
        <f>4557496.96/1000</f>
        <v>4557.4969600000004</v>
      </c>
      <c r="E1652" s="20"/>
    </row>
    <row r="1653" spans="1:5">
      <c r="A1653" s="17">
        <v>38</v>
      </c>
      <c r="B1653" s="18" t="s">
        <v>1359</v>
      </c>
      <c r="C1653" s="19">
        <v>1208202210119</v>
      </c>
      <c r="D1653" s="20">
        <f>4594980.78/1000</f>
        <v>4594.9807799999999</v>
      </c>
      <c r="E1653" s="20"/>
    </row>
    <row r="1654" spans="1:5">
      <c r="A1654" s="17">
        <v>39</v>
      </c>
      <c r="B1654" s="18" t="s">
        <v>1353</v>
      </c>
      <c r="C1654" s="19">
        <v>2309201110043</v>
      </c>
      <c r="D1654" s="20">
        <f>4310365.24/1000</f>
        <v>4310.3652400000001</v>
      </c>
      <c r="E1654" s="20"/>
    </row>
    <row r="1655" spans="1:5">
      <c r="A1655" s="17">
        <v>40</v>
      </c>
      <c r="B1655" s="18" t="s">
        <v>1360</v>
      </c>
      <c r="C1655" s="19">
        <v>2003201910256</v>
      </c>
      <c r="D1655" s="20">
        <f>3849093.11/1000</f>
        <v>3849.0931099999998</v>
      </c>
      <c r="E1655" s="20"/>
    </row>
    <row r="1656" spans="1:5">
      <c r="A1656" s="17">
        <v>41</v>
      </c>
      <c r="B1656" s="18" t="s">
        <v>3247</v>
      </c>
      <c r="C1656" s="19">
        <v>403201110128</v>
      </c>
      <c r="D1656" s="20">
        <f>3718140.69/1000</f>
        <v>3718.1406899999997</v>
      </c>
      <c r="E1656" s="20"/>
    </row>
    <row r="1657" spans="1:5">
      <c r="A1657" s="17">
        <v>42</v>
      </c>
      <c r="B1657" s="18" t="s">
        <v>1365</v>
      </c>
      <c r="C1657" s="19">
        <v>13005199601234</v>
      </c>
      <c r="D1657" s="20">
        <f>3521308.86/1000</f>
        <v>3521.3088600000001</v>
      </c>
      <c r="E1657" s="20"/>
    </row>
    <row r="1658" spans="1:5">
      <c r="A1658" s="17">
        <v>43</v>
      </c>
      <c r="B1658" s="18" t="s">
        <v>2464</v>
      </c>
      <c r="C1658" s="19">
        <v>408199110016</v>
      </c>
      <c r="D1658" s="20">
        <f>3332956.46/1000</f>
        <v>3332.9564599999999</v>
      </c>
      <c r="E1658" s="20"/>
    </row>
    <row r="1659" spans="1:5">
      <c r="A1659" s="17">
        <v>44</v>
      </c>
      <c r="B1659" s="18" t="s">
        <v>1361</v>
      </c>
      <c r="C1659" s="19">
        <v>1112201410138</v>
      </c>
      <c r="D1659" s="20">
        <f>3255864.08/1000</f>
        <v>3255.8640800000003</v>
      </c>
      <c r="E1659" s="20"/>
    </row>
    <row r="1660" spans="1:5">
      <c r="A1660" s="17">
        <v>45</v>
      </c>
      <c r="B1660" s="18" t="s">
        <v>2010</v>
      </c>
      <c r="C1660" s="19">
        <v>21809198200368</v>
      </c>
      <c r="D1660" s="20">
        <f>3201847.18/1000</f>
        <v>3201.8471800000002</v>
      </c>
      <c r="E1660" s="20"/>
    </row>
    <row r="1661" spans="1:5">
      <c r="A1661" s="17">
        <v>46</v>
      </c>
      <c r="B1661" s="18" t="s">
        <v>1363</v>
      </c>
      <c r="C1661" s="19">
        <v>20301196900713</v>
      </c>
      <c r="D1661" s="20">
        <f>3202996.87/1000</f>
        <v>3202.9968699999999</v>
      </c>
      <c r="E1661" s="20"/>
    </row>
    <row r="1662" spans="1:5">
      <c r="A1662" s="17">
        <v>47</v>
      </c>
      <c r="B1662" s="18" t="s">
        <v>1364</v>
      </c>
      <c r="C1662" s="19">
        <v>13006195300211</v>
      </c>
      <c r="D1662" s="20">
        <f>3203759.31/1000</f>
        <v>3203.7593099999999</v>
      </c>
      <c r="E1662" s="20"/>
    </row>
    <row r="1663" spans="1:5">
      <c r="A1663" s="17">
        <v>48</v>
      </c>
      <c r="B1663" s="18" t="s">
        <v>2465</v>
      </c>
      <c r="C1663" s="19">
        <v>2108200810126</v>
      </c>
      <c r="D1663" s="20">
        <f>3160177.9/1000</f>
        <v>3160.1778999999997</v>
      </c>
      <c r="E1663" s="20"/>
    </row>
    <row r="1664" spans="1:5">
      <c r="A1664" s="17">
        <v>49</v>
      </c>
      <c r="B1664" s="18" t="s">
        <v>1362</v>
      </c>
      <c r="C1664" s="19">
        <v>11802196600011</v>
      </c>
      <c r="D1664" s="20">
        <f>3053344.17/1000</f>
        <v>3053.3441699999998</v>
      </c>
      <c r="E1664" s="20"/>
    </row>
    <row r="1665" spans="1:5">
      <c r="A1665" s="17">
        <v>50</v>
      </c>
      <c r="B1665" s="18" t="s">
        <v>1366</v>
      </c>
      <c r="C1665" s="19">
        <v>1709201510258</v>
      </c>
      <c r="D1665" s="20">
        <f>3039662.01/1000</f>
        <v>3039.6620099999996</v>
      </c>
      <c r="E1665" s="20"/>
    </row>
    <row r="1666" spans="1:5">
      <c r="A1666" s="17">
        <v>51</v>
      </c>
      <c r="B1666" s="18" t="s">
        <v>1367</v>
      </c>
      <c r="C1666" s="19">
        <v>11211192900010</v>
      </c>
      <c r="D1666" s="20">
        <f>2898404/1000</f>
        <v>2898.404</v>
      </c>
      <c r="E1666" s="20"/>
    </row>
    <row r="1667" spans="1:5">
      <c r="A1667" s="17">
        <v>52</v>
      </c>
      <c r="B1667" s="18" t="s">
        <v>1369</v>
      </c>
      <c r="C1667" s="19">
        <v>21809195700229</v>
      </c>
      <c r="D1667" s="20">
        <f>2783952/1000</f>
        <v>2783.9520000000002</v>
      </c>
      <c r="E1667" s="20"/>
    </row>
    <row r="1668" spans="1:5">
      <c r="A1668" s="17">
        <v>53</v>
      </c>
      <c r="B1668" s="18" t="s">
        <v>3248</v>
      </c>
      <c r="C1668" s="19">
        <v>108199310037</v>
      </c>
      <c r="D1668" s="20">
        <f>2708376.58/1000</f>
        <v>2708.3765800000001</v>
      </c>
      <c r="E1668" s="20"/>
    </row>
    <row r="1669" spans="1:5">
      <c r="A1669" s="17">
        <v>54</v>
      </c>
      <c r="B1669" s="18" t="s">
        <v>1370</v>
      </c>
      <c r="C1669" s="19">
        <v>21808199301915</v>
      </c>
      <c r="D1669" s="20">
        <f>2648376/1000</f>
        <v>2648.3760000000002</v>
      </c>
      <c r="E1669" s="20"/>
    </row>
    <row r="1670" spans="1:5">
      <c r="A1670" s="17">
        <v>55</v>
      </c>
      <c r="B1670" s="18" t="s">
        <v>2011</v>
      </c>
      <c r="C1670" s="19">
        <v>1708201510177</v>
      </c>
      <c r="D1670" s="20">
        <f>2238171.11/1000</f>
        <v>2238.1711099999998</v>
      </c>
      <c r="E1670" s="20"/>
    </row>
    <row r="1671" spans="1:5">
      <c r="A1671" s="17">
        <v>56</v>
      </c>
      <c r="B1671" s="18" t="s">
        <v>2459</v>
      </c>
      <c r="C1671" s="19">
        <v>2404199510316</v>
      </c>
      <c r="D1671" s="20">
        <f>2457826.68/1000</f>
        <v>2457.8266800000001</v>
      </c>
      <c r="E1671" s="20">
        <v>2611.5</v>
      </c>
    </row>
    <row r="1672" spans="1:5">
      <c r="A1672" s="17">
        <v>57</v>
      </c>
      <c r="B1672" s="18" t="s">
        <v>1371</v>
      </c>
      <c r="C1672" s="19">
        <v>2504201110157</v>
      </c>
      <c r="D1672" s="20">
        <f>2305474.03/1000</f>
        <v>2305.4740299999999</v>
      </c>
      <c r="E1672" s="20">
        <v>4110.3999999999996</v>
      </c>
    </row>
    <row r="1673" spans="1:5">
      <c r="A1673" s="17">
        <v>58</v>
      </c>
      <c r="B1673" s="18" t="s">
        <v>3253</v>
      </c>
      <c r="C1673" s="19">
        <v>2005200210031</v>
      </c>
      <c r="D1673" s="20">
        <f>2169009.85/1000</f>
        <v>2169.0098499999999</v>
      </c>
      <c r="E1673" s="20">
        <v>6325.4</v>
      </c>
    </row>
    <row r="1674" spans="1:5">
      <c r="A1674" s="17">
        <v>59</v>
      </c>
      <c r="B1674" s="18" t="s">
        <v>1135</v>
      </c>
      <c r="C1674" s="19">
        <v>20401199302012</v>
      </c>
      <c r="D1674" s="20">
        <f>2150452.81/1000</f>
        <v>2150.4528100000002</v>
      </c>
      <c r="E1674" s="20"/>
    </row>
    <row r="1675" spans="1:5">
      <c r="A1675" s="17">
        <v>60</v>
      </c>
      <c r="B1675" s="18" t="s">
        <v>1372</v>
      </c>
      <c r="C1675" s="19">
        <v>22508198400250</v>
      </c>
      <c r="D1675" s="20">
        <f>2050532/1000</f>
        <v>2050.5320000000002</v>
      </c>
      <c r="E1675" s="20"/>
    </row>
    <row r="1676" spans="1:5">
      <c r="A1676" s="17">
        <v>61</v>
      </c>
      <c r="B1676" s="18" t="s">
        <v>1368</v>
      </c>
      <c r="C1676" s="19">
        <v>11307198400804</v>
      </c>
      <c r="D1676" s="20">
        <f>2042946.74/1000</f>
        <v>2042.9467400000001</v>
      </c>
      <c r="E1676" s="20"/>
    </row>
    <row r="1677" spans="1:5">
      <c r="A1677" s="17">
        <v>62</v>
      </c>
      <c r="B1677" s="18" t="s">
        <v>923</v>
      </c>
      <c r="C1677" s="19">
        <v>303200510118</v>
      </c>
      <c r="D1677" s="20">
        <f>2029419.72/1000</f>
        <v>2029.4197199999999</v>
      </c>
      <c r="E1677" s="20">
        <v>3324.4</v>
      </c>
    </row>
    <row r="1678" spans="1:5">
      <c r="A1678" s="17">
        <v>63</v>
      </c>
      <c r="B1678" s="18" t="s">
        <v>1377</v>
      </c>
      <c r="C1678" s="19">
        <v>23112199800699</v>
      </c>
      <c r="D1678" s="20">
        <f>1915683.26/1000</f>
        <v>1915.68326</v>
      </c>
      <c r="E1678" s="20"/>
    </row>
    <row r="1679" spans="1:5">
      <c r="A1679" s="17">
        <v>64</v>
      </c>
      <c r="B1679" s="18" t="s">
        <v>1859</v>
      </c>
      <c r="C1679" s="19">
        <v>42112201510129</v>
      </c>
      <c r="D1679" s="20">
        <f>1871481.88/1000</f>
        <v>1871.4818799999998</v>
      </c>
      <c r="E1679" s="20"/>
    </row>
    <row r="1680" spans="1:5">
      <c r="A1680" s="17">
        <v>65</v>
      </c>
      <c r="B1680" s="18" t="s">
        <v>2460</v>
      </c>
      <c r="C1680" s="19">
        <v>2105199610062</v>
      </c>
      <c r="D1680" s="20">
        <f>1889763.13/1000</f>
        <v>1889.7631299999998</v>
      </c>
      <c r="E1680" s="20"/>
    </row>
    <row r="1681" spans="1:5">
      <c r="A1681" s="17">
        <v>66</v>
      </c>
      <c r="B1681" s="18" t="s">
        <v>1373</v>
      </c>
      <c r="C1681" s="19">
        <v>20106196700585</v>
      </c>
      <c r="D1681" s="20">
        <f>1863880.72/1000</f>
        <v>1863.8807199999999</v>
      </c>
      <c r="E1681" s="20"/>
    </row>
    <row r="1682" spans="1:5">
      <c r="A1682" s="17">
        <v>67</v>
      </c>
      <c r="B1682" s="18" t="s">
        <v>1378</v>
      </c>
      <c r="C1682" s="19">
        <v>11509195100990</v>
      </c>
      <c r="D1682" s="20">
        <f>1799153.18/1000</f>
        <v>1799.15318</v>
      </c>
      <c r="E1682" s="20"/>
    </row>
    <row r="1683" spans="1:5">
      <c r="A1683" s="17">
        <v>68</v>
      </c>
      <c r="B1683" s="18" t="s">
        <v>1374</v>
      </c>
      <c r="C1683" s="19">
        <v>710201410085</v>
      </c>
      <c r="D1683" s="20">
        <f>1789942.52/1000</f>
        <v>1789.9425200000001</v>
      </c>
      <c r="E1683" s="20"/>
    </row>
    <row r="1684" spans="1:5">
      <c r="A1684" s="17">
        <v>69</v>
      </c>
      <c r="B1684" s="18" t="s">
        <v>1375</v>
      </c>
      <c r="C1684" s="19">
        <v>609201610025</v>
      </c>
      <c r="D1684" s="20">
        <f>1802981.4/1000</f>
        <v>1802.9813999999999</v>
      </c>
      <c r="E1684" s="20"/>
    </row>
    <row r="1685" spans="1:5">
      <c r="A1685" s="17">
        <v>70</v>
      </c>
      <c r="B1685" s="18" t="s">
        <v>1376</v>
      </c>
      <c r="C1685" s="19">
        <v>2408201510101</v>
      </c>
      <c r="D1685" s="20">
        <f>1795532.46/1000</f>
        <v>1795.5324599999999</v>
      </c>
      <c r="E1685" s="20"/>
    </row>
    <row r="1686" spans="1:5">
      <c r="A1686" s="17">
        <v>71</v>
      </c>
      <c r="B1686" s="18" t="s">
        <v>1380</v>
      </c>
      <c r="C1686" s="19">
        <v>20402199700640</v>
      </c>
      <c r="D1686" s="20">
        <f>1695858.62/1000</f>
        <v>1695.8586200000002</v>
      </c>
      <c r="E1686" s="20"/>
    </row>
    <row r="1687" spans="1:5">
      <c r="A1687" s="17">
        <v>72</v>
      </c>
      <c r="B1687" s="18" t="s">
        <v>1379</v>
      </c>
      <c r="C1687" s="19">
        <v>22206198300914</v>
      </c>
      <c r="D1687" s="20">
        <f>1596879.07/1000</f>
        <v>1596.87907</v>
      </c>
      <c r="E1687" s="20"/>
    </row>
    <row r="1688" spans="1:5">
      <c r="A1688" s="17">
        <v>73</v>
      </c>
      <c r="B1688" s="18" t="s">
        <v>1860</v>
      </c>
      <c r="C1688" s="19">
        <v>1812200210105</v>
      </c>
      <c r="D1688" s="20">
        <f>1552338.78/1000</f>
        <v>1552.33878</v>
      </c>
      <c r="E1688" s="20">
        <v>1944.2</v>
      </c>
    </row>
    <row r="1689" spans="1:5">
      <c r="A1689" s="17">
        <v>74</v>
      </c>
      <c r="B1689" s="18" t="s">
        <v>3254</v>
      </c>
      <c r="C1689" s="19">
        <v>2912200010233</v>
      </c>
      <c r="D1689" s="20">
        <f>3068503.43/1000</f>
        <v>3068.5034300000002</v>
      </c>
      <c r="E1689" s="20"/>
    </row>
    <row r="1690" spans="1:5">
      <c r="A1690" s="17">
        <v>75</v>
      </c>
      <c r="B1690" s="18" t="s">
        <v>1381</v>
      </c>
      <c r="C1690" s="19">
        <v>3110201810087</v>
      </c>
      <c r="D1690" s="20">
        <f>1307522.74/1000</f>
        <v>1307.5227399999999</v>
      </c>
      <c r="E1690" s="20"/>
    </row>
    <row r="1691" spans="1:5">
      <c r="A1691" s="17">
        <v>76</v>
      </c>
      <c r="B1691" s="18" t="s">
        <v>1382</v>
      </c>
      <c r="C1691" s="19">
        <v>10612197601015</v>
      </c>
      <c r="D1691" s="20">
        <f>1317250.93/1000</f>
        <v>1317.2509299999999</v>
      </c>
      <c r="E1691" s="20"/>
    </row>
    <row r="1692" spans="1:5">
      <c r="A1692" s="17">
        <v>77</v>
      </c>
      <c r="B1692" s="18" t="s">
        <v>1383</v>
      </c>
      <c r="C1692" s="19">
        <v>2607202210085</v>
      </c>
      <c r="D1692" s="20">
        <f>1280293.76/1000</f>
        <v>1280.29376</v>
      </c>
      <c r="E1692" s="20"/>
    </row>
    <row r="1693" spans="1:5">
      <c r="A1693" s="17">
        <v>78</v>
      </c>
      <c r="B1693" s="18" t="s">
        <v>1384</v>
      </c>
      <c r="C1693" s="19">
        <v>20705197900430</v>
      </c>
      <c r="D1693" s="20">
        <f>1223915/1000</f>
        <v>1223.915</v>
      </c>
      <c r="E1693" s="20"/>
    </row>
    <row r="1694" spans="1:5">
      <c r="A1694" s="17">
        <v>79</v>
      </c>
      <c r="B1694" s="18" t="s">
        <v>1396</v>
      </c>
      <c r="C1694" s="19">
        <v>2407201810244</v>
      </c>
      <c r="D1694" s="20">
        <f>1198780/1000</f>
        <v>1198.78</v>
      </c>
      <c r="E1694" s="20"/>
    </row>
    <row r="1695" spans="1:5">
      <c r="A1695" s="17">
        <v>80</v>
      </c>
      <c r="B1695" s="18" t="s">
        <v>3249</v>
      </c>
      <c r="C1695" s="19">
        <v>2503195810018</v>
      </c>
      <c r="D1695" s="20">
        <f>2311914.39/1000</f>
        <v>2311.9143899999999</v>
      </c>
      <c r="E1695" s="20"/>
    </row>
    <row r="1696" spans="1:5">
      <c r="A1696" s="17">
        <v>81</v>
      </c>
      <c r="B1696" s="18" t="s">
        <v>2458</v>
      </c>
      <c r="C1696" s="19">
        <v>1107202310327</v>
      </c>
      <c r="D1696" s="20">
        <f>1155373.52/1000</f>
        <v>1155.3735200000001</v>
      </c>
      <c r="E1696" s="20"/>
    </row>
    <row r="1697" spans="1:5">
      <c r="A1697" s="17">
        <v>82</v>
      </c>
      <c r="B1697" s="18" t="s">
        <v>1385</v>
      </c>
      <c r="C1697" s="19">
        <v>2706201910437</v>
      </c>
      <c r="D1697" s="20">
        <f>1142287.28/1000</f>
        <v>1142.28728</v>
      </c>
      <c r="E1697" s="20"/>
    </row>
    <row r="1698" spans="1:5">
      <c r="A1698" s="17">
        <v>83</v>
      </c>
      <c r="B1698" s="18" t="s">
        <v>1925</v>
      </c>
      <c r="C1698" s="19">
        <v>1604201810359</v>
      </c>
      <c r="D1698" s="20">
        <f>1105432.97/1000</f>
        <v>1105.4329700000001</v>
      </c>
      <c r="E1698" s="20"/>
    </row>
    <row r="1699" spans="1:5">
      <c r="A1699" s="17">
        <v>84</v>
      </c>
      <c r="B1699" s="18" t="s">
        <v>1386</v>
      </c>
      <c r="C1699" s="19">
        <v>2003201410296</v>
      </c>
      <c r="D1699" s="20">
        <f>999564.16/1000</f>
        <v>999.56416000000002</v>
      </c>
      <c r="E1699" s="20"/>
    </row>
    <row r="1700" spans="1:5">
      <c r="A1700" s="17">
        <v>85</v>
      </c>
      <c r="B1700" s="18" t="s">
        <v>1758</v>
      </c>
      <c r="C1700" s="19">
        <v>11510198000681</v>
      </c>
      <c r="D1700" s="20">
        <f>879175/1000</f>
        <v>879.17499999999995</v>
      </c>
      <c r="E1700" s="20"/>
    </row>
    <row r="1701" spans="1:5">
      <c r="A1701" s="17">
        <v>86</v>
      </c>
      <c r="B1701" s="18" t="s">
        <v>1924</v>
      </c>
      <c r="C1701" s="19">
        <v>21912195600059</v>
      </c>
      <c r="D1701" s="20">
        <f>803840/1000</f>
        <v>803.84</v>
      </c>
      <c r="E1701" s="20"/>
    </row>
    <row r="1702" spans="1:5">
      <c r="A1702" s="17">
        <v>87</v>
      </c>
      <c r="B1702" s="18" t="s">
        <v>2461</v>
      </c>
      <c r="C1702" s="19">
        <v>510199510047</v>
      </c>
      <c r="D1702" s="20">
        <f>766484.56/1000</f>
        <v>766.4845600000001</v>
      </c>
      <c r="E1702" s="20"/>
    </row>
    <row r="1703" spans="1:5">
      <c r="A1703" s="17">
        <v>88</v>
      </c>
      <c r="B1703" s="18" t="s">
        <v>1387</v>
      </c>
      <c r="C1703" s="19">
        <v>20709195610040</v>
      </c>
      <c r="D1703" s="20">
        <f>765387.82/1000</f>
        <v>765.38781999999992</v>
      </c>
      <c r="E1703" s="20"/>
    </row>
    <row r="1704" spans="1:5">
      <c r="A1704" s="17">
        <v>89</v>
      </c>
      <c r="B1704" s="18" t="s">
        <v>1397</v>
      </c>
      <c r="C1704" s="19">
        <v>2606200310262</v>
      </c>
      <c r="D1704" s="20">
        <f>750786/1000</f>
        <v>750.78599999999994</v>
      </c>
      <c r="E1704" s="20"/>
    </row>
    <row r="1705" spans="1:5">
      <c r="A1705" s="17">
        <v>90</v>
      </c>
      <c r="B1705" s="18" t="s">
        <v>3250</v>
      </c>
      <c r="C1705" s="19">
        <v>23103198700378</v>
      </c>
      <c r="D1705" s="20">
        <f>734495.04/1000</f>
        <v>734.49504000000002</v>
      </c>
      <c r="E1705" s="20"/>
    </row>
    <row r="1706" spans="1:5">
      <c r="A1706" s="17">
        <v>91</v>
      </c>
      <c r="B1706" s="18" t="s">
        <v>1388</v>
      </c>
      <c r="C1706" s="19">
        <v>10105197300207</v>
      </c>
      <c r="D1706" s="20">
        <f>726372/1000</f>
        <v>726.37199999999996</v>
      </c>
      <c r="E1706" s="20"/>
    </row>
    <row r="1707" spans="1:5">
      <c r="A1707" s="17">
        <v>92</v>
      </c>
      <c r="B1707" s="18" t="s">
        <v>1389</v>
      </c>
      <c r="C1707" s="19">
        <v>21408197000511</v>
      </c>
      <c r="D1707" s="20">
        <f>710390.96/1000</f>
        <v>710.39095999999995</v>
      </c>
      <c r="E1707" s="20"/>
    </row>
    <row r="1708" spans="1:5">
      <c r="A1708" s="17">
        <v>93</v>
      </c>
      <c r="B1708" s="18" t="s">
        <v>1760</v>
      </c>
      <c r="C1708" s="19">
        <v>21701197601251</v>
      </c>
      <c r="D1708" s="20">
        <f>679032/1000</f>
        <v>679.03200000000004</v>
      </c>
      <c r="E1708" s="20"/>
    </row>
    <row r="1709" spans="1:5">
      <c r="A1709" s="17">
        <v>94</v>
      </c>
      <c r="B1709" s="18" t="s">
        <v>1391</v>
      </c>
      <c r="C1709" s="19">
        <v>20106198400181</v>
      </c>
      <c r="D1709" s="20">
        <f>685469.43/1000</f>
        <v>685.4694300000001</v>
      </c>
      <c r="E1709" s="20"/>
    </row>
    <row r="1710" spans="1:5">
      <c r="A1710" s="17">
        <v>95</v>
      </c>
      <c r="B1710" s="18" t="s">
        <v>1390</v>
      </c>
      <c r="C1710" s="19">
        <v>22206199300050</v>
      </c>
      <c r="D1710" s="20">
        <f>644793.19/1000</f>
        <v>644.79318999999998</v>
      </c>
      <c r="E1710" s="20"/>
    </row>
    <row r="1711" spans="1:5">
      <c r="A1711" s="17">
        <v>96</v>
      </c>
      <c r="B1711" s="18" t="s">
        <v>1759</v>
      </c>
      <c r="C1711" s="19">
        <v>11510197300285</v>
      </c>
      <c r="D1711" s="20">
        <f>632730/1000</f>
        <v>632.73</v>
      </c>
      <c r="E1711" s="20"/>
    </row>
    <row r="1712" spans="1:5">
      <c r="A1712" s="17">
        <v>97</v>
      </c>
      <c r="B1712" s="18" t="s">
        <v>1392</v>
      </c>
      <c r="C1712" s="19">
        <v>11506193610035</v>
      </c>
      <c r="D1712" s="20">
        <f>595600/1000</f>
        <v>595.6</v>
      </c>
      <c r="E1712" s="20"/>
    </row>
    <row r="1713" spans="1:5">
      <c r="A1713" s="17">
        <v>98</v>
      </c>
      <c r="B1713" s="18" t="s">
        <v>1393</v>
      </c>
      <c r="C1713" s="19">
        <v>20801199401957</v>
      </c>
      <c r="D1713" s="20">
        <f>587450/1000</f>
        <v>587.45000000000005</v>
      </c>
      <c r="E1713" s="20"/>
    </row>
    <row r="1714" spans="1:5">
      <c r="A1714" s="17">
        <v>99</v>
      </c>
      <c r="B1714" s="18" t="s">
        <v>1394</v>
      </c>
      <c r="C1714" s="19">
        <v>2107202110129</v>
      </c>
      <c r="D1714" s="20">
        <f>544401.6/1000</f>
        <v>544.40160000000003</v>
      </c>
      <c r="E1714" s="20"/>
    </row>
    <row r="1715" spans="1:5">
      <c r="A1715" s="17">
        <v>100</v>
      </c>
      <c r="B1715" s="18" t="s">
        <v>1761</v>
      </c>
      <c r="C1715" s="19">
        <v>20510197901145</v>
      </c>
      <c r="D1715" s="20">
        <f>541376.61/1000</f>
        <v>541.37661000000003</v>
      </c>
      <c r="E1715" s="20"/>
    </row>
    <row r="1716" spans="1:5">
      <c r="A1716" s="17">
        <v>101</v>
      </c>
      <c r="B1716" s="18" t="s">
        <v>1395</v>
      </c>
      <c r="C1716" s="19">
        <v>10805199601230</v>
      </c>
      <c r="D1716" s="20">
        <f>539032.83/1000</f>
        <v>539.03282999999999</v>
      </c>
      <c r="E1716" s="20"/>
    </row>
    <row r="1717" spans="1:5">
      <c r="A1717" s="17">
        <v>102</v>
      </c>
      <c r="B1717" s="18" t="s">
        <v>3251</v>
      </c>
      <c r="C1717" s="19">
        <v>1205202310216</v>
      </c>
      <c r="D1717" s="20">
        <f>548819.55/1000</f>
        <v>548.81955000000005</v>
      </c>
      <c r="E1717" s="20"/>
    </row>
    <row r="1718" spans="1:5">
      <c r="A1718" s="17">
        <v>103</v>
      </c>
      <c r="B1718" s="18" t="s">
        <v>2469</v>
      </c>
      <c r="C1718" s="19" t="s">
        <v>1762</v>
      </c>
      <c r="D1718" s="20"/>
      <c r="E1718" s="20">
        <v>5079.3985300000004</v>
      </c>
    </row>
    <row r="1719" spans="1:5">
      <c r="A1719" s="17">
        <v>104</v>
      </c>
      <c r="B1719" s="18" t="s">
        <v>3256</v>
      </c>
      <c r="C1719" s="19" t="s">
        <v>1661</v>
      </c>
      <c r="D1719" s="20"/>
      <c r="E1719" s="20">
        <v>1647.7128</v>
      </c>
    </row>
    <row r="1720" spans="1:5">
      <c r="A1720" s="17">
        <v>105</v>
      </c>
      <c r="B1720" s="18" t="s">
        <v>1763</v>
      </c>
      <c r="C1720" s="19" t="s">
        <v>2466</v>
      </c>
      <c r="D1720" s="20"/>
      <c r="E1720" s="20">
        <v>1629.2577800000001</v>
      </c>
    </row>
    <row r="1721" spans="1:5">
      <c r="A1721" s="17">
        <v>106</v>
      </c>
      <c r="B1721" s="18" t="s">
        <v>2470</v>
      </c>
      <c r="C1721" s="19" t="s">
        <v>1660</v>
      </c>
      <c r="D1721" s="20"/>
      <c r="E1721" s="20">
        <v>1248.2345500000001</v>
      </c>
    </row>
    <row r="1722" spans="1:5">
      <c r="A1722" s="17">
        <v>107</v>
      </c>
      <c r="B1722" s="18" t="s">
        <v>2471</v>
      </c>
      <c r="C1722" s="19" t="s">
        <v>1662</v>
      </c>
      <c r="D1722" s="20"/>
      <c r="E1722" s="20">
        <v>922.92654000000005</v>
      </c>
    </row>
    <row r="1723" spans="1:5">
      <c r="A1723" s="17">
        <v>108</v>
      </c>
      <c r="B1723" s="18" t="s">
        <v>1861</v>
      </c>
      <c r="C1723" s="19" t="s">
        <v>3255</v>
      </c>
      <c r="D1723" s="20"/>
      <c r="E1723" s="20">
        <v>707.88790000000006</v>
      </c>
    </row>
    <row r="1724" spans="1:5">
      <c r="A1724" s="17">
        <v>109</v>
      </c>
      <c r="B1724" s="18" t="s">
        <v>2468</v>
      </c>
      <c r="C1724" s="19" t="s">
        <v>2467</v>
      </c>
      <c r="D1724" s="20"/>
      <c r="E1724" s="20">
        <v>584.29905000000008</v>
      </c>
    </row>
    <row r="1725" spans="1:5">
      <c r="A1725" s="34"/>
      <c r="B1725" s="25" t="s">
        <v>2</v>
      </c>
      <c r="C1725" s="34"/>
      <c r="D1725" s="35">
        <f>SUM(D1616:D1724)</f>
        <v>1033865.1554600002</v>
      </c>
      <c r="E1725" s="35">
        <f>SUM(E1616:E1724)</f>
        <v>30135.617150000005</v>
      </c>
    </row>
    <row r="1726" spans="1:5" s="15" customFormat="1">
      <c r="A1726" s="4" t="s">
        <v>26</v>
      </c>
      <c r="B1726" s="4"/>
      <c r="C1726" s="4"/>
      <c r="D1726" s="4"/>
      <c r="E1726" s="4"/>
    </row>
    <row r="1727" spans="1:5">
      <c r="A1727" s="17">
        <v>1</v>
      </c>
      <c r="B1727" s="18" t="s">
        <v>803</v>
      </c>
      <c r="C1727" s="21">
        <v>1412201810179</v>
      </c>
      <c r="D1727" s="22">
        <f>3524450040.99/1000</f>
        <v>3524450.0409899997</v>
      </c>
      <c r="E1727" s="20"/>
    </row>
    <row r="1728" spans="1:5">
      <c r="A1728" s="17">
        <v>2</v>
      </c>
      <c r="B1728" s="18" t="s">
        <v>3270</v>
      </c>
      <c r="C1728" s="21">
        <v>3005201810348</v>
      </c>
      <c r="D1728" s="22">
        <f>74530625.28/1000</f>
        <v>74530.625280000007</v>
      </c>
      <c r="E1728" s="20"/>
    </row>
    <row r="1729" spans="1:5">
      <c r="A1729" s="17">
        <v>3</v>
      </c>
      <c r="B1729" s="18" t="s">
        <v>766</v>
      </c>
      <c r="C1729" s="21">
        <v>201197410019</v>
      </c>
      <c r="D1729" s="22">
        <f>39842306.81/1000</f>
        <v>39842.306810000002</v>
      </c>
      <c r="E1729" s="20"/>
    </row>
    <row r="1730" spans="1:5">
      <c r="A1730" s="17">
        <v>4</v>
      </c>
      <c r="B1730" s="18" t="s">
        <v>1121</v>
      </c>
      <c r="C1730" s="21">
        <v>20711198100503</v>
      </c>
      <c r="D1730" s="22">
        <f>15555978/1000</f>
        <v>15555.977999999999</v>
      </c>
      <c r="E1730" s="20"/>
    </row>
    <row r="1731" spans="1:5">
      <c r="A1731" s="17">
        <v>5</v>
      </c>
      <c r="B1731" s="18" t="s">
        <v>1120</v>
      </c>
      <c r="C1731" s="21">
        <v>22909199601463</v>
      </c>
      <c r="D1731" s="22">
        <f>14232635.26/1000</f>
        <v>14232.635259999999</v>
      </c>
      <c r="E1731" s="20"/>
    </row>
    <row r="1732" spans="1:5">
      <c r="A1732" s="17">
        <v>6</v>
      </c>
      <c r="B1732" s="18" t="s">
        <v>1764</v>
      </c>
      <c r="C1732" s="21">
        <v>212202210053</v>
      </c>
      <c r="D1732" s="22">
        <f>12068672.7/1000</f>
        <v>12068.672699999999</v>
      </c>
      <c r="E1732" s="20"/>
    </row>
    <row r="1733" spans="1:5">
      <c r="A1733" s="17">
        <v>7</v>
      </c>
      <c r="B1733" s="18" t="s">
        <v>961</v>
      </c>
      <c r="C1733" s="21">
        <v>212202110027</v>
      </c>
      <c r="D1733" s="22">
        <f>9190446.36/1000</f>
        <v>9190.4463599999999</v>
      </c>
      <c r="E1733" s="20"/>
    </row>
    <row r="1734" spans="1:5">
      <c r="A1734" s="17">
        <v>8</v>
      </c>
      <c r="B1734" s="18" t="s">
        <v>1122</v>
      </c>
      <c r="C1734" s="21">
        <v>23006199800301</v>
      </c>
      <c r="D1734" s="22">
        <f>8798378/1000</f>
        <v>8798.3780000000006</v>
      </c>
      <c r="E1734" s="20"/>
    </row>
    <row r="1735" spans="1:5">
      <c r="A1735" s="17">
        <v>9</v>
      </c>
      <c r="B1735" s="18" t="s">
        <v>1308</v>
      </c>
      <c r="C1735" s="21">
        <v>2007201810093</v>
      </c>
      <c r="D1735" s="22">
        <f>8140450.62/1000</f>
        <v>8140.4506200000005</v>
      </c>
      <c r="E1735" s="20"/>
    </row>
    <row r="1736" spans="1:5">
      <c r="A1736" s="17">
        <v>10</v>
      </c>
      <c r="B1736" s="18" t="s">
        <v>1310</v>
      </c>
      <c r="C1736" s="21">
        <v>710202210060</v>
      </c>
      <c r="D1736" s="22">
        <f>21845068.7/1000</f>
        <v>21845.0687</v>
      </c>
      <c r="E1736" s="20"/>
    </row>
    <row r="1737" spans="1:5">
      <c r="A1737" s="17">
        <v>11</v>
      </c>
      <c r="B1737" s="18" t="s">
        <v>1123</v>
      </c>
      <c r="C1737" s="21">
        <v>23103197710032</v>
      </c>
      <c r="D1737" s="22">
        <f>6420841.13/1000</f>
        <v>6420.8411299999998</v>
      </c>
      <c r="E1737" s="20"/>
    </row>
    <row r="1738" spans="1:5">
      <c r="A1738" s="17">
        <v>12</v>
      </c>
      <c r="B1738" s="18" t="s">
        <v>798</v>
      </c>
      <c r="C1738" s="21">
        <v>11109200000045</v>
      </c>
      <c r="D1738" s="22">
        <f>5763120/1000</f>
        <v>5763.12</v>
      </c>
      <c r="E1738" s="20"/>
    </row>
    <row r="1739" spans="1:5">
      <c r="A1739" s="17">
        <v>13</v>
      </c>
      <c r="B1739" s="18" t="s">
        <v>1128</v>
      </c>
      <c r="C1739" s="21">
        <v>20604199100998</v>
      </c>
      <c r="D1739" s="22">
        <f>4879392.25/1000</f>
        <v>4879.3922499999999</v>
      </c>
      <c r="E1739" s="20"/>
    </row>
    <row r="1740" spans="1:5">
      <c r="A1740" s="17">
        <v>14</v>
      </c>
      <c r="B1740" s="18" t="s">
        <v>919</v>
      </c>
      <c r="C1740" s="21">
        <v>21306197801111</v>
      </c>
      <c r="D1740" s="22">
        <f>4363976.48/1000</f>
        <v>4363.9764800000003</v>
      </c>
      <c r="E1740" s="20"/>
    </row>
    <row r="1741" spans="1:5">
      <c r="A1741" s="17">
        <v>15</v>
      </c>
      <c r="B1741" s="18" t="s">
        <v>1309</v>
      </c>
      <c r="C1741" s="21">
        <v>22810196200090</v>
      </c>
      <c r="D1741" s="22">
        <f>3672200/1000</f>
        <v>3672.2</v>
      </c>
      <c r="E1741" s="20"/>
    </row>
    <row r="1742" spans="1:5">
      <c r="A1742" s="17">
        <v>16</v>
      </c>
      <c r="B1742" s="18" t="s">
        <v>1124</v>
      </c>
      <c r="C1742" s="21">
        <v>10803196501975</v>
      </c>
      <c r="D1742" s="22">
        <f>3513348.29/1000</f>
        <v>3513.3482899999999</v>
      </c>
      <c r="E1742" s="20"/>
    </row>
    <row r="1743" spans="1:5">
      <c r="A1743" s="17">
        <v>17</v>
      </c>
      <c r="B1743" s="18" t="s">
        <v>1313</v>
      </c>
      <c r="C1743" s="21">
        <v>812202110140</v>
      </c>
      <c r="D1743" s="22">
        <f>3478643.38/1000</f>
        <v>3478.64338</v>
      </c>
      <c r="E1743" s="20"/>
    </row>
    <row r="1744" spans="1:5">
      <c r="A1744" s="17">
        <v>18</v>
      </c>
      <c r="B1744" s="18" t="s">
        <v>920</v>
      </c>
      <c r="C1744" s="21">
        <v>2303201610275</v>
      </c>
      <c r="D1744" s="22">
        <f>2996844.94/1000</f>
        <v>2996.84494</v>
      </c>
      <c r="E1744" s="20"/>
    </row>
    <row r="1745" spans="1:5">
      <c r="A1745" s="17">
        <v>19</v>
      </c>
      <c r="B1745" s="18" t="s">
        <v>2472</v>
      </c>
      <c r="C1745" s="21">
        <v>20904197500691</v>
      </c>
      <c r="D1745" s="22">
        <f>2606584.11/1000</f>
        <v>2606.5841099999998</v>
      </c>
      <c r="E1745" s="20"/>
    </row>
    <row r="1746" spans="1:5">
      <c r="A1746" s="17">
        <v>20</v>
      </c>
      <c r="B1746" s="18" t="s">
        <v>3271</v>
      </c>
      <c r="C1746" s="21">
        <v>11804197301240</v>
      </c>
      <c r="D1746" s="22">
        <f>2284070.15/1000</f>
        <v>2284.07015</v>
      </c>
      <c r="E1746" s="20"/>
    </row>
    <row r="1747" spans="1:5">
      <c r="A1747" s="17">
        <v>21</v>
      </c>
      <c r="B1747" s="18" t="s">
        <v>1125</v>
      </c>
      <c r="C1747" s="21">
        <v>21604198400657</v>
      </c>
      <c r="D1747" s="22">
        <f>2197013.42/1000</f>
        <v>2197.0134199999998</v>
      </c>
      <c r="E1747" s="20"/>
    </row>
    <row r="1748" spans="1:5">
      <c r="A1748" s="17">
        <v>22</v>
      </c>
      <c r="B1748" s="18" t="s">
        <v>1130</v>
      </c>
      <c r="C1748" s="21">
        <v>10712198601419</v>
      </c>
      <c r="D1748" s="22">
        <f>2092830/1000</f>
        <v>2092.83</v>
      </c>
      <c r="E1748" s="20"/>
    </row>
    <row r="1749" spans="1:5">
      <c r="A1749" s="17">
        <v>23</v>
      </c>
      <c r="B1749" s="18" t="s">
        <v>1132</v>
      </c>
      <c r="C1749" s="21">
        <v>22301198501186</v>
      </c>
      <c r="D1749" s="22">
        <f>1864230.67/1000</f>
        <v>1864.2306699999999</v>
      </c>
      <c r="E1749" s="20"/>
    </row>
    <row r="1750" spans="1:5">
      <c r="A1750" s="17">
        <v>24</v>
      </c>
      <c r="B1750" s="18" t="s">
        <v>2003</v>
      </c>
      <c r="C1750" s="21">
        <v>12512195900914</v>
      </c>
      <c r="D1750" s="22">
        <f>1815136.8/1000</f>
        <v>1815.1368</v>
      </c>
      <c r="E1750" s="20"/>
    </row>
    <row r="1751" spans="1:5">
      <c r="A1751" s="17">
        <v>25</v>
      </c>
      <c r="B1751" s="18" t="s">
        <v>802</v>
      </c>
      <c r="C1751" s="21">
        <v>20907198700396</v>
      </c>
      <c r="D1751" s="22">
        <f>1744102.68/1000</f>
        <v>1744.10268</v>
      </c>
      <c r="E1751" s="20"/>
    </row>
    <row r="1752" spans="1:5">
      <c r="A1752" s="17">
        <v>26</v>
      </c>
      <c r="B1752" s="18" t="s">
        <v>1311</v>
      </c>
      <c r="C1752" s="21">
        <v>10501195300141</v>
      </c>
      <c r="D1752" s="22">
        <f>1731568.38/1000</f>
        <v>1731.5683799999999</v>
      </c>
      <c r="E1752" s="20"/>
    </row>
    <row r="1753" spans="1:5">
      <c r="A1753" s="17">
        <v>27</v>
      </c>
      <c r="B1753" s="18" t="s">
        <v>1312</v>
      </c>
      <c r="C1753" s="21">
        <v>13107196100395</v>
      </c>
      <c r="D1753" s="22">
        <f>1716079.4/1000</f>
        <v>1716.0793999999999</v>
      </c>
      <c r="E1753" s="20"/>
    </row>
    <row r="1754" spans="1:5">
      <c r="A1754" s="17">
        <v>28</v>
      </c>
      <c r="B1754" s="18" t="s">
        <v>1131</v>
      </c>
      <c r="C1754" s="21">
        <v>22307198300142</v>
      </c>
      <c r="D1754" s="22">
        <f>1685257.1/1000</f>
        <v>1685.2571</v>
      </c>
      <c r="E1754" s="20"/>
    </row>
    <row r="1755" spans="1:5">
      <c r="A1755" s="17">
        <v>29</v>
      </c>
      <c r="B1755" s="18" t="s">
        <v>921</v>
      </c>
      <c r="C1755" s="21">
        <v>20503199400073</v>
      </c>
      <c r="D1755" s="22">
        <f>1483141.84/1000</f>
        <v>1483.14184</v>
      </c>
      <c r="E1755" s="20"/>
    </row>
    <row r="1756" spans="1:5">
      <c r="A1756" s="17">
        <v>30</v>
      </c>
      <c r="B1756" s="18" t="s">
        <v>797</v>
      </c>
      <c r="C1756" s="21">
        <v>1611201710055</v>
      </c>
      <c r="D1756" s="22">
        <f>1467375.25/1000</f>
        <v>1467.3752500000001</v>
      </c>
      <c r="E1756" s="20"/>
    </row>
    <row r="1757" spans="1:5">
      <c r="A1757" s="17">
        <v>31</v>
      </c>
      <c r="B1757" s="18" t="s">
        <v>801</v>
      </c>
      <c r="C1757" s="21">
        <v>20610198401484</v>
      </c>
      <c r="D1757" s="22">
        <f>1444942.9/1000</f>
        <v>1444.9429</v>
      </c>
      <c r="E1757" s="20"/>
    </row>
    <row r="1758" spans="1:5">
      <c r="A1758" s="17">
        <v>32</v>
      </c>
      <c r="B1758" s="18" t="s">
        <v>1126</v>
      </c>
      <c r="C1758" s="21">
        <v>12106195600052</v>
      </c>
      <c r="D1758" s="22">
        <f>1209997.86/1000</f>
        <v>1209.9978600000002</v>
      </c>
      <c r="E1758" s="20"/>
    </row>
    <row r="1759" spans="1:5">
      <c r="A1759" s="17">
        <v>33</v>
      </c>
      <c r="B1759" s="18" t="s">
        <v>1129</v>
      </c>
      <c r="C1759" s="21">
        <v>21705195500395</v>
      </c>
      <c r="D1759" s="22">
        <f>1131600/1000</f>
        <v>1131.5999999999999</v>
      </c>
      <c r="E1759" s="20"/>
    </row>
    <row r="1760" spans="1:5">
      <c r="A1760" s="17">
        <v>34</v>
      </c>
      <c r="B1760" s="18" t="s">
        <v>1315</v>
      </c>
      <c r="C1760" s="21">
        <v>12805199001110</v>
      </c>
      <c r="D1760" s="22">
        <f>1122576/1000</f>
        <v>1122.576</v>
      </c>
      <c r="E1760" s="20"/>
    </row>
    <row r="1761" spans="1:5">
      <c r="A1761" s="17">
        <v>35</v>
      </c>
      <c r="B1761" s="18" t="s">
        <v>3272</v>
      </c>
      <c r="C1761" s="21">
        <v>102201710111</v>
      </c>
      <c r="D1761" s="22">
        <f>1108756.85/1000</f>
        <v>1108.75685</v>
      </c>
      <c r="E1761" s="20"/>
    </row>
    <row r="1762" spans="1:5">
      <c r="A1762" s="17">
        <v>36</v>
      </c>
      <c r="B1762" s="18" t="s">
        <v>1765</v>
      </c>
      <c r="C1762" s="21">
        <v>20611198601473</v>
      </c>
      <c r="D1762" s="22">
        <f>1060632.27/1000</f>
        <v>1060.6322700000001</v>
      </c>
      <c r="E1762" s="20"/>
    </row>
    <row r="1763" spans="1:5">
      <c r="A1763" s="17">
        <v>37</v>
      </c>
      <c r="B1763" s="18" t="s">
        <v>1920</v>
      </c>
      <c r="C1763" s="21">
        <v>12901197000134</v>
      </c>
      <c r="D1763" s="22">
        <f>1052473.24/1000</f>
        <v>1052.47324</v>
      </c>
      <c r="E1763" s="20"/>
    </row>
    <row r="1764" spans="1:5">
      <c r="A1764" s="17">
        <v>38</v>
      </c>
      <c r="B1764" s="18" t="s">
        <v>90</v>
      </c>
      <c r="C1764" s="21">
        <v>21902196900486</v>
      </c>
      <c r="D1764" s="22">
        <f>1040833.6/1000</f>
        <v>1040.8335999999999</v>
      </c>
      <c r="E1764" s="20"/>
    </row>
    <row r="1765" spans="1:5">
      <c r="A1765" s="17">
        <v>39</v>
      </c>
      <c r="B1765" s="18" t="s">
        <v>1127</v>
      </c>
      <c r="C1765" s="21">
        <v>20505198301307</v>
      </c>
      <c r="D1765" s="22">
        <f>994064.95/1000</f>
        <v>994.06494999999995</v>
      </c>
      <c r="E1765" s="20"/>
    </row>
    <row r="1766" spans="1:5">
      <c r="A1766" s="17">
        <v>40</v>
      </c>
      <c r="B1766" s="18" t="s">
        <v>2473</v>
      </c>
      <c r="C1766" s="21">
        <v>2401200710343</v>
      </c>
      <c r="D1766" s="22">
        <f>908256.64/1000</f>
        <v>908.25664000000006</v>
      </c>
      <c r="E1766" s="20"/>
    </row>
    <row r="1767" spans="1:5">
      <c r="A1767" s="17">
        <v>41</v>
      </c>
      <c r="B1767" s="18" t="s">
        <v>2004</v>
      </c>
      <c r="C1767" s="21">
        <v>2701202010336</v>
      </c>
      <c r="D1767" s="22">
        <f>896734.62/1000</f>
        <v>896.73461999999995</v>
      </c>
      <c r="E1767" s="20"/>
    </row>
    <row r="1768" spans="1:5">
      <c r="A1768" s="17">
        <v>42</v>
      </c>
      <c r="B1768" s="18" t="s">
        <v>1133</v>
      </c>
      <c r="C1768" s="21">
        <v>10112196000885</v>
      </c>
      <c r="D1768" s="22">
        <f>884511.64/1000</f>
        <v>884.51164000000006</v>
      </c>
      <c r="E1768" s="20"/>
    </row>
    <row r="1769" spans="1:5">
      <c r="A1769" s="17">
        <v>43</v>
      </c>
      <c r="B1769" s="18" t="s">
        <v>800</v>
      </c>
      <c r="C1769" s="21">
        <v>20110198000262</v>
      </c>
      <c r="D1769" s="22">
        <f>726400/1000</f>
        <v>726.4</v>
      </c>
      <c r="E1769" s="20"/>
    </row>
    <row r="1770" spans="1:5">
      <c r="A1770" s="17">
        <v>44</v>
      </c>
      <c r="B1770" s="18" t="s">
        <v>995</v>
      </c>
      <c r="C1770" s="21">
        <v>1104200510024</v>
      </c>
      <c r="D1770" s="22">
        <f>679968.74/1000</f>
        <v>679.96874000000003</v>
      </c>
      <c r="E1770" s="20"/>
    </row>
    <row r="1771" spans="1:5">
      <c r="A1771" s="17">
        <v>45</v>
      </c>
      <c r="B1771" s="18" t="s">
        <v>1316</v>
      </c>
      <c r="C1771" s="21">
        <v>22003198801763</v>
      </c>
      <c r="D1771" s="22">
        <f>650226.17/1000</f>
        <v>650.22617000000002</v>
      </c>
      <c r="E1771" s="20"/>
    </row>
    <row r="1772" spans="1:5">
      <c r="A1772" s="17">
        <v>46</v>
      </c>
      <c r="B1772" s="18" t="s">
        <v>922</v>
      </c>
      <c r="C1772" s="21">
        <v>20605197810025</v>
      </c>
      <c r="D1772" s="22">
        <f>595232.54/1000</f>
        <v>595.23254000000009</v>
      </c>
      <c r="E1772" s="20"/>
    </row>
    <row r="1773" spans="1:5">
      <c r="A1773" s="17">
        <v>47</v>
      </c>
      <c r="B1773" s="18" t="s">
        <v>1314</v>
      </c>
      <c r="C1773" s="21">
        <v>1202200710210</v>
      </c>
      <c r="D1773" s="22">
        <f>601960.34/1000</f>
        <v>601.96033999999997</v>
      </c>
      <c r="E1773" s="20"/>
    </row>
    <row r="1774" spans="1:5">
      <c r="A1774" s="17">
        <v>48</v>
      </c>
      <c r="B1774" s="18" t="s">
        <v>799</v>
      </c>
      <c r="C1774" s="21">
        <v>12808196400572</v>
      </c>
      <c r="D1774" s="22">
        <f>591100.5/1000</f>
        <v>591.10050000000001</v>
      </c>
      <c r="E1774" s="20"/>
    </row>
    <row r="1775" spans="1:5">
      <c r="A1775" s="17">
        <v>49</v>
      </c>
      <c r="B1775" s="18" t="s">
        <v>1317</v>
      </c>
      <c r="C1775" s="21">
        <v>11004195100979</v>
      </c>
      <c r="D1775" s="22">
        <f>539549.37/1000</f>
        <v>539.54936999999995</v>
      </c>
      <c r="E1775" s="20"/>
    </row>
    <row r="1776" spans="1:5">
      <c r="A1776" s="17">
        <v>50</v>
      </c>
      <c r="B1776" s="18" t="s">
        <v>2006</v>
      </c>
      <c r="C1776" s="21" t="s">
        <v>2005</v>
      </c>
      <c r="D1776" s="22"/>
      <c r="E1776" s="20">
        <v>7033.4438700000001</v>
      </c>
    </row>
    <row r="1777" spans="1:5">
      <c r="A1777" s="17">
        <v>51</v>
      </c>
      <c r="B1777" s="18" t="s">
        <v>1852</v>
      </c>
      <c r="C1777" s="21" t="s">
        <v>1654</v>
      </c>
      <c r="D1777" s="22"/>
      <c r="E1777" s="20">
        <v>4920.1687000000002</v>
      </c>
    </row>
    <row r="1778" spans="1:5">
      <c r="A1778" s="17">
        <v>52</v>
      </c>
      <c r="B1778" s="18" t="s">
        <v>2007</v>
      </c>
      <c r="C1778" s="21" t="s">
        <v>1655</v>
      </c>
      <c r="D1778" s="22"/>
      <c r="E1778" s="20">
        <v>4369.7892099999999</v>
      </c>
    </row>
    <row r="1779" spans="1:5">
      <c r="A1779" s="17">
        <v>53</v>
      </c>
      <c r="B1779" s="18" t="s">
        <v>1659</v>
      </c>
      <c r="C1779" s="21" t="s">
        <v>1656</v>
      </c>
      <c r="D1779" s="22"/>
      <c r="E1779" s="20">
        <v>2287.4674100000002</v>
      </c>
    </row>
    <row r="1780" spans="1:5">
      <c r="A1780" s="17">
        <v>54</v>
      </c>
      <c r="B1780" s="18" t="s">
        <v>1853</v>
      </c>
      <c r="C1780" s="21" t="s">
        <v>1657</v>
      </c>
      <c r="D1780" s="22"/>
      <c r="E1780" s="20">
        <v>1484.9180900000001</v>
      </c>
    </row>
    <row r="1781" spans="1:5">
      <c r="A1781" s="17">
        <v>55</v>
      </c>
      <c r="B1781" s="18" t="s">
        <v>1922</v>
      </c>
      <c r="C1781" s="21" t="s">
        <v>1658</v>
      </c>
      <c r="D1781" s="22"/>
      <c r="E1781" s="20">
        <v>1166.9278299999999</v>
      </c>
    </row>
    <row r="1782" spans="1:5">
      <c r="A1782" s="17">
        <v>56</v>
      </c>
      <c r="B1782" s="18" t="s">
        <v>1851</v>
      </c>
      <c r="C1782" s="21" t="s">
        <v>2008</v>
      </c>
      <c r="D1782" s="22"/>
      <c r="E1782" s="20">
        <v>997.52647999999999</v>
      </c>
    </row>
    <row r="1783" spans="1:5">
      <c r="A1783" s="17">
        <v>57</v>
      </c>
      <c r="B1783" s="18" t="s">
        <v>1921</v>
      </c>
      <c r="C1783" s="21" t="s">
        <v>2474</v>
      </c>
      <c r="D1783" s="22"/>
      <c r="E1783" s="20">
        <v>951.38569999999993</v>
      </c>
    </row>
    <row r="1784" spans="1:5">
      <c r="A1784" s="17">
        <v>58</v>
      </c>
      <c r="B1784" s="18" t="s">
        <v>2476</v>
      </c>
      <c r="C1784" s="21" t="s">
        <v>2475</v>
      </c>
      <c r="D1784" s="22"/>
      <c r="E1784" s="20">
        <v>849.36486000000002</v>
      </c>
    </row>
    <row r="1785" spans="1:5">
      <c r="A1785" s="17"/>
      <c r="B1785" s="25" t="s">
        <v>2</v>
      </c>
      <c r="C1785" s="27"/>
      <c r="D1785" s="35">
        <f>SUM(D1727:D1784)</f>
        <v>3803670.1772200018</v>
      </c>
      <c r="E1785" s="35">
        <f>SUM(E1727:E1784)</f>
        <v>24060.992150000002</v>
      </c>
    </row>
    <row r="1786" spans="1:5">
      <c r="A1786" s="4" t="s">
        <v>44</v>
      </c>
      <c r="B1786" s="4"/>
      <c r="C1786" s="4"/>
      <c r="D1786" s="4"/>
      <c r="E1786" s="4"/>
    </row>
    <row r="1787" spans="1:5">
      <c r="A1787" s="17">
        <v>1</v>
      </c>
      <c r="B1787" s="18" t="s">
        <v>2456</v>
      </c>
      <c r="C1787" s="19">
        <v>2409200310039</v>
      </c>
      <c r="D1787" s="20">
        <f>139618525/1000</f>
        <v>139618.52499999999</v>
      </c>
      <c r="E1787" s="20"/>
    </row>
    <row r="1788" spans="1:5">
      <c r="A1788" s="17">
        <v>2</v>
      </c>
      <c r="B1788" s="18" t="s">
        <v>393</v>
      </c>
      <c r="C1788" s="19">
        <v>22502198701841</v>
      </c>
      <c r="D1788" s="20">
        <f>1977268.8/1000</f>
        <v>1977.2688000000001</v>
      </c>
      <c r="E1788" s="20"/>
    </row>
    <row r="1789" spans="1:5">
      <c r="A1789" s="17">
        <v>3</v>
      </c>
      <c r="B1789" s="18" t="s">
        <v>394</v>
      </c>
      <c r="C1789" s="19">
        <v>21107197710011</v>
      </c>
      <c r="D1789" s="20">
        <f>1518410/1000</f>
        <v>1518.41</v>
      </c>
      <c r="E1789" s="20"/>
    </row>
    <row r="1790" spans="1:5">
      <c r="A1790" s="17">
        <v>4</v>
      </c>
      <c r="B1790" s="18" t="s">
        <v>767</v>
      </c>
      <c r="C1790" s="19">
        <v>903200710136</v>
      </c>
      <c r="D1790" s="20">
        <f>1312050.3/1000</f>
        <v>1312.0503000000001</v>
      </c>
      <c r="E1790" s="20"/>
    </row>
    <row r="1791" spans="1:5">
      <c r="A1791" s="17">
        <v>5</v>
      </c>
      <c r="B1791" s="18" t="s">
        <v>395</v>
      </c>
      <c r="C1791" s="19">
        <v>20701195810025</v>
      </c>
      <c r="D1791" s="20">
        <f>942610.78/1000</f>
        <v>942.61077999999998</v>
      </c>
      <c r="E1791" s="20"/>
    </row>
    <row r="1792" spans="1:5">
      <c r="A1792" s="17">
        <v>6</v>
      </c>
      <c r="B1792" s="18" t="s">
        <v>1080</v>
      </c>
      <c r="C1792" s="19">
        <v>21810196700343</v>
      </c>
      <c r="D1792" s="20">
        <f>800258.19/1000</f>
        <v>800.2581899999999</v>
      </c>
      <c r="E1792" s="20"/>
    </row>
    <row r="1793" spans="1:5">
      <c r="A1793" s="17">
        <v>7</v>
      </c>
      <c r="B1793" s="18" t="s">
        <v>396</v>
      </c>
      <c r="C1793" s="19">
        <v>21801195300178</v>
      </c>
      <c r="D1793" s="20">
        <f>566507.59/1000</f>
        <v>566.50758999999994</v>
      </c>
      <c r="E1793" s="20"/>
    </row>
    <row r="1794" spans="1:5">
      <c r="A1794" s="17">
        <v>8</v>
      </c>
      <c r="B1794" s="18" t="s">
        <v>1078</v>
      </c>
      <c r="C1794" s="19">
        <v>20601196400140</v>
      </c>
      <c r="D1794" s="20">
        <f>550442.14/1000</f>
        <v>550.44213999999999</v>
      </c>
      <c r="E1794" s="20"/>
    </row>
    <row r="1795" spans="1:5">
      <c r="A1795" s="17">
        <v>9</v>
      </c>
      <c r="B1795" s="18" t="s">
        <v>2457</v>
      </c>
      <c r="C1795" s="19" t="s">
        <v>1766</v>
      </c>
      <c r="D1795" s="20"/>
      <c r="E1795" s="20">
        <v>6810.5</v>
      </c>
    </row>
    <row r="1796" spans="1:5">
      <c r="A1796" s="17"/>
      <c r="B1796" s="25" t="s">
        <v>2</v>
      </c>
      <c r="C1796" s="27"/>
      <c r="D1796" s="35">
        <f>SUM(D1787:D1795)</f>
        <v>147286.07279999997</v>
      </c>
      <c r="E1796" s="35">
        <f>SUM(E1787:E1795)</f>
        <v>6810.5</v>
      </c>
    </row>
    <row r="1797" spans="1:5">
      <c r="A1797" s="4" t="s">
        <v>27</v>
      </c>
      <c r="B1797" s="4"/>
      <c r="C1797" s="4"/>
      <c r="D1797" s="4"/>
      <c r="E1797" s="4"/>
    </row>
    <row r="1798" spans="1:5">
      <c r="A1798" s="17">
        <v>1</v>
      </c>
      <c r="B1798" s="18" t="s">
        <v>1082</v>
      </c>
      <c r="C1798" s="21">
        <v>20301199201112</v>
      </c>
      <c r="D1798" s="22">
        <f>26112100/1000</f>
        <v>26112.1</v>
      </c>
      <c r="E1798" s="20"/>
    </row>
    <row r="1799" spans="1:5">
      <c r="A1799" s="17">
        <v>2</v>
      </c>
      <c r="B1799" s="18" t="s">
        <v>1321</v>
      </c>
      <c r="C1799" s="21">
        <v>2603202210209</v>
      </c>
      <c r="D1799" s="22">
        <f>18591811.16/1000</f>
        <v>18591.811160000001</v>
      </c>
      <c r="E1799" s="20"/>
    </row>
    <row r="1800" spans="1:5">
      <c r="A1800" s="17">
        <v>3</v>
      </c>
      <c r="B1800" s="18" t="s">
        <v>2477</v>
      </c>
      <c r="C1800" s="21">
        <v>510202210126</v>
      </c>
      <c r="D1800" s="22">
        <f>10247525.94/1000</f>
        <v>10247.52594</v>
      </c>
      <c r="E1800" s="20"/>
    </row>
    <row r="1801" spans="1:5">
      <c r="A1801" s="17">
        <v>4</v>
      </c>
      <c r="B1801" s="18" t="s">
        <v>795</v>
      </c>
      <c r="C1801" s="21">
        <v>21305198301606</v>
      </c>
      <c r="D1801" s="22">
        <f>9172537.01/1000</f>
        <v>9172.53701</v>
      </c>
      <c r="E1801" s="20"/>
    </row>
    <row r="1802" spans="1:5">
      <c r="A1802" s="17">
        <v>5</v>
      </c>
      <c r="B1802" s="18" t="s">
        <v>386</v>
      </c>
      <c r="C1802" s="21">
        <v>22212198100824</v>
      </c>
      <c r="D1802" s="22">
        <f>7976937.4/1000</f>
        <v>7976.9374000000007</v>
      </c>
      <c r="E1802" s="20"/>
    </row>
    <row r="1803" spans="1:5">
      <c r="A1803" s="17">
        <v>6</v>
      </c>
      <c r="B1803" s="18" t="s">
        <v>1322</v>
      </c>
      <c r="C1803" s="21">
        <v>1206201910518</v>
      </c>
      <c r="D1803" s="22">
        <f>5814783.83/1000</f>
        <v>5814.7838300000003</v>
      </c>
      <c r="E1803" s="20"/>
    </row>
    <row r="1804" spans="1:5">
      <c r="A1804" s="17">
        <v>7</v>
      </c>
      <c r="B1804" s="18" t="s">
        <v>1323</v>
      </c>
      <c r="C1804" s="21">
        <v>1312201610066</v>
      </c>
      <c r="D1804" s="22">
        <f>4735987.61/1000</f>
        <v>4735.9876100000001</v>
      </c>
      <c r="E1804" s="20"/>
    </row>
    <row r="1805" spans="1:5">
      <c r="A1805" s="17">
        <v>8</v>
      </c>
      <c r="B1805" s="18" t="s">
        <v>1919</v>
      </c>
      <c r="C1805" s="21">
        <v>2608202210398</v>
      </c>
      <c r="D1805" s="22">
        <f>4636202.47/1000</f>
        <v>4636.2024700000002</v>
      </c>
      <c r="E1805" s="20"/>
    </row>
    <row r="1806" spans="1:5">
      <c r="A1806" s="17">
        <v>9</v>
      </c>
      <c r="B1806" s="18" t="s">
        <v>962</v>
      </c>
      <c r="C1806" s="21">
        <v>22611199201054</v>
      </c>
      <c r="D1806" s="22">
        <f>3239865.31/1000</f>
        <v>3239.8653100000001</v>
      </c>
      <c r="E1806" s="20"/>
    </row>
    <row r="1807" spans="1:5">
      <c r="A1807" s="17">
        <v>10</v>
      </c>
      <c r="B1807" s="18" t="s">
        <v>1324</v>
      </c>
      <c r="C1807" s="21">
        <v>1106200910294</v>
      </c>
      <c r="D1807" s="22">
        <f>1794739.72/1000</f>
        <v>1794.73972</v>
      </c>
      <c r="E1807" s="20"/>
    </row>
    <row r="1808" spans="1:5">
      <c r="A1808" s="17">
        <v>11</v>
      </c>
      <c r="B1808" s="18" t="s">
        <v>793</v>
      </c>
      <c r="C1808" s="21">
        <v>206202010227</v>
      </c>
      <c r="D1808" s="22">
        <f>1718544.2/1000</f>
        <v>1718.5442</v>
      </c>
      <c r="E1808" s="20"/>
    </row>
    <row r="1809" spans="1:5" ht="31.5">
      <c r="A1809" s="17">
        <v>12</v>
      </c>
      <c r="B1809" s="18" t="s">
        <v>2478</v>
      </c>
      <c r="C1809" s="21">
        <v>42107199410275</v>
      </c>
      <c r="D1809" s="22">
        <f>1816072.78/1000</f>
        <v>1816.07278</v>
      </c>
      <c r="E1809" s="20"/>
    </row>
    <row r="1810" spans="1:5">
      <c r="A1810" s="17">
        <v>13</v>
      </c>
      <c r="B1810" s="18" t="s">
        <v>387</v>
      </c>
      <c r="C1810" s="21">
        <v>21206197700676</v>
      </c>
      <c r="D1810" s="22">
        <f>1462453.92/1000</f>
        <v>1462.4539199999999</v>
      </c>
      <c r="E1810" s="20"/>
    </row>
    <row r="1811" spans="1:5">
      <c r="A1811" s="17">
        <v>14</v>
      </c>
      <c r="B1811" s="18" t="s">
        <v>1325</v>
      </c>
      <c r="C1811" s="21">
        <v>2907202110159</v>
      </c>
      <c r="D1811" s="22">
        <f>1389973.4/1000</f>
        <v>1389.9733999999999</v>
      </c>
      <c r="E1811" s="20"/>
    </row>
    <row r="1812" spans="1:5">
      <c r="A1812" s="17">
        <v>15</v>
      </c>
      <c r="B1812" s="18" t="s">
        <v>1767</v>
      </c>
      <c r="C1812" s="21">
        <v>22208197701010</v>
      </c>
      <c r="D1812" s="22">
        <f>1330000/1000</f>
        <v>1330</v>
      </c>
      <c r="E1812" s="20"/>
    </row>
    <row r="1813" spans="1:5">
      <c r="A1813" s="17">
        <v>16</v>
      </c>
      <c r="B1813" s="18" t="s">
        <v>1329</v>
      </c>
      <c r="C1813" s="21">
        <v>2208202210152</v>
      </c>
      <c r="D1813" s="22">
        <f>1321953.41/1000</f>
        <v>1321.9534099999998</v>
      </c>
      <c r="E1813" s="20"/>
    </row>
    <row r="1814" spans="1:5">
      <c r="A1814" s="17">
        <v>17</v>
      </c>
      <c r="B1814" s="18" t="s">
        <v>796</v>
      </c>
      <c r="C1814" s="21">
        <v>20910199900139</v>
      </c>
      <c r="D1814" s="22">
        <f>897784.3/1000</f>
        <v>897.78430000000003</v>
      </c>
      <c r="E1814" s="20"/>
    </row>
    <row r="1815" spans="1:5">
      <c r="A1815" s="17">
        <v>18</v>
      </c>
      <c r="B1815" s="18" t="s">
        <v>794</v>
      </c>
      <c r="C1815" s="21">
        <v>21007199301095</v>
      </c>
      <c r="D1815" s="22">
        <f>869142.57/1000</f>
        <v>869.14256999999998</v>
      </c>
      <c r="E1815" s="20"/>
    </row>
    <row r="1816" spans="1:5">
      <c r="A1816" s="17">
        <v>19</v>
      </c>
      <c r="B1816" s="18" t="s">
        <v>1326</v>
      </c>
      <c r="C1816" s="21">
        <v>20602195900061</v>
      </c>
      <c r="D1816" s="22">
        <f>667386.57/1000</f>
        <v>667.38656999999989</v>
      </c>
      <c r="E1816" s="20"/>
    </row>
    <row r="1817" spans="1:5">
      <c r="A1817" s="17">
        <v>20</v>
      </c>
      <c r="B1817" s="18" t="s">
        <v>1327</v>
      </c>
      <c r="C1817" s="21">
        <v>11106199100452</v>
      </c>
      <c r="D1817" s="22">
        <f>615784.41/1000</f>
        <v>615.78440999999998</v>
      </c>
      <c r="E1817" s="20"/>
    </row>
    <row r="1818" spans="1:5">
      <c r="A1818" s="17">
        <v>21</v>
      </c>
      <c r="B1818" s="18" t="s">
        <v>1328</v>
      </c>
      <c r="C1818" s="21">
        <v>112199310036</v>
      </c>
      <c r="D1818" s="22">
        <f>549701.87/1000</f>
        <v>549.70186999999999</v>
      </c>
      <c r="E1818" s="20"/>
    </row>
    <row r="1819" spans="1:5">
      <c r="A1819" s="17">
        <v>22</v>
      </c>
      <c r="B1819" s="18" t="s">
        <v>1852</v>
      </c>
      <c r="C1819" s="21" t="s">
        <v>1654</v>
      </c>
      <c r="D1819" s="22"/>
      <c r="E1819" s="20">
        <v>3179.2470499999999</v>
      </c>
    </row>
    <row r="1820" spans="1:5" ht="31.5">
      <c r="A1820" s="17">
        <v>23</v>
      </c>
      <c r="B1820" s="18" t="s">
        <v>1862</v>
      </c>
      <c r="C1820" s="21" t="s">
        <v>1768</v>
      </c>
      <c r="D1820" s="22"/>
      <c r="E1820" s="20">
        <v>908.84642999999994</v>
      </c>
    </row>
    <row r="1821" spans="1:5">
      <c r="A1821" s="17"/>
      <c r="B1821" s="25" t="s">
        <v>2</v>
      </c>
      <c r="C1821" s="27"/>
      <c r="D1821" s="35">
        <f>SUM(D1798:D1820)</f>
        <v>104961.28788</v>
      </c>
      <c r="E1821" s="35">
        <f>SUM(E1798:E1820)</f>
        <v>4088.09348</v>
      </c>
    </row>
    <row r="1822" spans="1:5">
      <c r="A1822" s="5" t="s">
        <v>28</v>
      </c>
      <c r="B1822" s="6"/>
      <c r="C1822" s="6"/>
      <c r="D1822" s="6"/>
      <c r="E1822" s="7"/>
    </row>
    <row r="1823" spans="1:5">
      <c r="A1823" s="17">
        <v>1</v>
      </c>
      <c r="B1823" s="18" t="s">
        <v>1769</v>
      </c>
      <c r="C1823" s="19">
        <v>22107198900511</v>
      </c>
      <c r="D1823" s="20">
        <f>67221672.75/1000</f>
        <v>67221.672749999998</v>
      </c>
      <c r="E1823" s="20"/>
    </row>
    <row r="1824" spans="1:5">
      <c r="A1824" s="17">
        <v>2</v>
      </c>
      <c r="B1824" s="18" t="s">
        <v>1073</v>
      </c>
      <c r="C1824" s="19">
        <v>22310198900418</v>
      </c>
      <c r="D1824" s="20">
        <f>52268094.67/1000</f>
        <v>52268.094669999999</v>
      </c>
      <c r="E1824" s="20"/>
    </row>
    <row r="1825" spans="1:5">
      <c r="A1825" s="17">
        <v>3</v>
      </c>
      <c r="B1825" s="18" t="s">
        <v>1918</v>
      </c>
      <c r="C1825" s="19">
        <v>2701202210078</v>
      </c>
      <c r="D1825" s="20">
        <f>29597925.6/1000</f>
        <v>29597.925600000002</v>
      </c>
      <c r="E1825" s="20"/>
    </row>
    <row r="1826" spans="1:5">
      <c r="A1826" s="17">
        <v>4</v>
      </c>
      <c r="B1826" s="18" t="s">
        <v>91</v>
      </c>
      <c r="C1826" s="19">
        <v>2306201610240</v>
      </c>
      <c r="D1826" s="20">
        <f>15289346.98/1000</f>
        <v>15289.34698</v>
      </c>
      <c r="E1826" s="20"/>
    </row>
    <row r="1827" spans="1:5">
      <c r="A1827" s="17">
        <v>5</v>
      </c>
      <c r="B1827" s="18" t="s">
        <v>963</v>
      </c>
      <c r="C1827" s="19">
        <v>101199810026</v>
      </c>
      <c r="D1827" s="20">
        <f>15203709.06/1000</f>
        <v>15203.709060000001</v>
      </c>
      <c r="E1827" s="20">
        <v>31647.3</v>
      </c>
    </row>
    <row r="1828" spans="1:5">
      <c r="A1828" s="17">
        <v>6</v>
      </c>
      <c r="B1828" s="18" t="s">
        <v>1330</v>
      </c>
      <c r="C1828" s="19">
        <v>22206199400743</v>
      </c>
      <c r="D1828" s="20">
        <f>12982010.45/1000</f>
        <v>12982.01045</v>
      </c>
      <c r="E1828" s="20"/>
    </row>
    <row r="1829" spans="1:5">
      <c r="A1829" s="17">
        <v>7</v>
      </c>
      <c r="B1829" s="18" t="s">
        <v>568</v>
      </c>
      <c r="C1829" s="19">
        <v>22007199100421</v>
      </c>
      <c r="D1829" s="20">
        <f>11721431/1000</f>
        <v>11721.431</v>
      </c>
      <c r="E1829" s="20"/>
    </row>
    <row r="1830" spans="1:5">
      <c r="A1830" s="17">
        <v>8</v>
      </c>
      <c r="B1830" s="18" t="s">
        <v>678</v>
      </c>
      <c r="C1830" s="19">
        <v>20905198602035</v>
      </c>
      <c r="D1830" s="20">
        <f>10926288/1000</f>
        <v>10926.288</v>
      </c>
      <c r="E1830" s="20"/>
    </row>
    <row r="1831" spans="1:5">
      <c r="A1831" s="17">
        <v>9</v>
      </c>
      <c r="B1831" s="18" t="s">
        <v>3281</v>
      </c>
      <c r="C1831" s="19">
        <v>1101200110036</v>
      </c>
      <c r="D1831" s="20">
        <f>9328068/1000</f>
        <v>9328.0679999999993</v>
      </c>
      <c r="E1831" s="20"/>
    </row>
    <row r="1832" spans="1:5">
      <c r="A1832" s="17">
        <v>10</v>
      </c>
      <c r="B1832" s="18" t="s">
        <v>3277</v>
      </c>
      <c r="C1832" s="19">
        <v>108199710099</v>
      </c>
      <c r="D1832" s="20">
        <f>9319659.84/1000</f>
        <v>9319.6598400000003</v>
      </c>
      <c r="E1832" s="20"/>
    </row>
    <row r="1833" spans="1:5">
      <c r="A1833" s="17">
        <v>11</v>
      </c>
      <c r="B1833" s="18" t="s">
        <v>3278</v>
      </c>
      <c r="C1833" s="19">
        <v>3004199810048</v>
      </c>
      <c r="D1833" s="20">
        <f>6658472/1000</f>
        <v>6658.4719999999998</v>
      </c>
      <c r="E1833" s="20"/>
    </row>
    <row r="1834" spans="1:5">
      <c r="A1834" s="17">
        <v>12</v>
      </c>
      <c r="B1834" s="18" t="s">
        <v>918</v>
      </c>
      <c r="C1834" s="19">
        <v>23103199401939</v>
      </c>
      <c r="D1834" s="20">
        <f>6519881.66/1000</f>
        <v>6519.88166</v>
      </c>
      <c r="E1834" s="20"/>
    </row>
    <row r="1835" spans="1:5">
      <c r="A1835" s="17">
        <v>13</v>
      </c>
      <c r="B1835" s="18" t="s">
        <v>3279</v>
      </c>
      <c r="C1835" s="19">
        <v>710201010039</v>
      </c>
      <c r="D1835" s="20">
        <f>5983860/1000</f>
        <v>5983.86</v>
      </c>
      <c r="E1835" s="20"/>
    </row>
    <row r="1836" spans="1:5">
      <c r="A1836" s="17">
        <v>14</v>
      </c>
      <c r="B1836" s="18" t="s">
        <v>569</v>
      </c>
      <c r="C1836" s="19">
        <v>504201010168</v>
      </c>
      <c r="D1836" s="20">
        <f>5845224.89/1000</f>
        <v>5845.2248899999995</v>
      </c>
      <c r="E1836" s="20">
        <v>32950.400000000001</v>
      </c>
    </row>
    <row r="1837" spans="1:5">
      <c r="A1837" s="17">
        <v>15</v>
      </c>
      <c r="B1837" s="18" t="s">
        <v>3280</v>
      </c>
      <c r="C1837" s="19">
        <v>810200110029</v>
      </c>
      <c r="D1837" s="20">
        <f>5281309/1000</f>
        <v>5281.3090000000002</v>
      </c>
      <c r="E1837" s="20"/>
    </row>
    <row r="1838" spans="1:5">
      <c r="A1838" s="17">
        <v>16</v>
      </c>
      <c r="B1838" s="18" t="s">
        <v>777</v>
      </c>
      <c r="C1838" s="19">
        <v>1306201610249</v>
      </c>
      <c r="D1838" s="20">
        <f>4685675.14/1000</f>
        <v>4685.6751399999994</v>
      </c>
      <c r="E1838" s="20">
        <v>41056.699999999997</v>
      </c>
    </row>
    <row r="1839" spans="1:5">
      <c r="A1839" s="17">
        <v>17</v>
      </c>
      <c r="B1839" s="18" t="s">
        <v>92</v>
      </c>
      <c r="C1839" s="19">
        <v>403200910304</v>
      </c>
      <c r="D1839" s="20">
        <f>3642139.34/1000</f>
        <v>3642.1393399999997</v>
      </c>
      <c r="E1839" s="20">
        <v>15840.5</v>
      </c>
    </row>
    <row r="1840" spans="1:5">
      <c r="A1840" s="17">
        <v>18</v>
      </c>
      <c r="B1840" s="18" t="s">
        <v>2480</v>
      </c>
      <c r="C1840" s="19">
        <v>205201310273</v>
      </c>
      <c r="D1840" s="20">
        <f>3436048.23/1000</f>
        <v>3436.0482299999999</v>
      </c>
      <c r="E1840" s="20">
        <v>555.29999999999995</v>
      </c>
    </row>
    <row r="1841" spans="1:5">
      <c r="A1841" s="17">
        <v>19</v>
      </c>
      <c r="B1841" s="18" t="s">
        <v>660</v>
      </c>
      <c r="C1841" s="19">
        <v>21411197900587</v>
      </c>
      <c r="D1841" s="20">
        <f>3500980.94/1000</f>
        <v>3500.9809399999999</v>
      </c>
      <c r="E1841" s="20"/>
    </row>
    <row r="1842" spans="1:5">
      <c r="A1842" s="17">
        <v>20</v>
      </c>
      <c r="B1842" s="18" t="s">
        <v>662</v>
      </c>
      <c r="C1842" s="19">
        <v>21904199000798</v>
      </c>
      <c r="D1842" s="20">
        <f>3415348/1000</f>
        <v>3415.348</v>
      </c>
      <c r="E1842" s="20"/>
    </row>
    <row r="1843" spans="1:5">
      <c r="A1843" s="17">
        <v>21</v>
      </c>
      <c r="B1843" s="18" t="s">
        <v>2479</v>
      </c>
      <c r="C1843" s="19">
        <v>10102195600644</v>
      </c>
      <c r="D1843" s="20">
        <f>3417254.34/1000</f>
        <v>3417.25434</v>
      </c>
      <c r="E1843" s="20"/>
    </row>
    <row r="1844" spans="1:5">
      <c r="A1844" s="17">
        <v>22</v>
      </c>
      <c r="B1844" s="18" t="s">
        <v>661</v>
      </c>
      <c r="C1844" s="19">
        <v>21806198200174</v>
      </c>
      <c r="D1844" s="20">
        <f>1579576.44/1000</f>
        <v>1579.57644</v>
      </c>
      <c r="E1844" s="20"/>
    </row>
    <row r="1845" spans="1:5">
      <c r="A1845" s="17">
        <v>23</v>
      </c>
      <c r="B1845" s="18" t="s">
        <v>916</v>
      </c>
      <c r="C1845" s="19">
        <v>11503197901033</v>
      </c>
      <c r="D1845" s="20">
        <f>1478719.33/1000</f>
        <v>1478.7193300000001</v>
      </c>
      <c r="E1845" s="20"/>
    </row>
    <row r="1846" spans="1:5">
      <c r="A1846" s="17">
        <v>24</v>
      </c>
      <c r="B1846" s="18" t="s">
        <v>675</v>
      </c>
      <c r="C1846" s="19">
        <v>20704199301973</v>
      </c>
      <c r="D1846" s="20">
        <f>1437721.32/1000</f>
        <v>1437.7213200000001</v>
      </c>
      <c r="E1846" s="20"/>
    </row>
    <row r="1847" spans="1:5">
      <c r="A1847" s="17">
        <v>25</v>
      </c>
      <c r="B1847" s="18" t="s">
        <v>663</v>
      </c>
      <c r="C1847" s="19">
        <v>21902197100921</v>
      </c>
      <c r="D1847" s="20">
        <f>1408016.24/1000</f>
        <v>1408.0162399999999</v>
      </c>
      <c r="E1847" s="20"/>
    </row>
    <row r="1848" spans="1:5">
      <c r="A1848" s="17">
        <v>26</v>
      </c>
      <c r="B1848" s="18" t="s">
        <v>1295</v>
      </c>
      <c r="C1848" s="19">
        <v>11211198500689</v>
      </c>
      <c r="D1848" s="20">
        <f>1316530.8/1000</f>
        <v>1316.5308</v>
      </c>
      <c r="E1848" s="20"/>
    </row>
    <row r="1849" spans="1:5">
      <c r="A1849" s="17">
        <v>27</v>
      </c>
      <c r="B1849" s="18" t="s">
        <v>671</v>
      </c>
      <c r="C1849" s="19">
        <v>20810198801510</v>
      </c>
      <c r="D1849" s="20">
        <f>1219326.08/1000</f>
        <v>1219.32608</v>
      </c>
      <c r="E1849" s="20"/>
    </row>
    <row r="1850" spans="1:5">
      <c r="A1850" s="17">
        <v>28</v>
      </c>
      <c r="B1850" s="18" t="s">
        <v>667</v>
      </c>
      <c r="C1850" s="19">
        <v>20102197701005</v>
      </c>
      <c r="D1850" s="20">
        <f>1215930.66/1000</f>
        <v>1215.93066</v>
      </c>
      <c r="E1850" s="20"/>
    </row>
    <row r="1851" spans="1:5">
      <c r="A1851" s="17">
        <v>29</v>
      </c>
      <c r="B1851" s="18" t="s">
        <v>668</v>
      </c>
      <c r="C1851" s="19">
        <v>10606197210045</v>
      </c>
      <c r="D1851" s="20">
        <f>1202418.65/1000</f>
        <v>1202.4186499999998</v>
      </c>
      <c r="E1851" s="20"/>
    </row>
    <row r="1852" spans="1:5">
      <c r="A1852" s="17">
        <v>30</v>
      </c>
      <c r="B1852" s="18" t="s">
        <v>3282</v>
      </c>
      <c r="C1852" s="19">
        <v>2709199610039</v>
      </c>
      <c r="D1852" s="20">
        <f>1144200/1000</f>
        <v>1144.2</v>
      </c>
      <c r="E1852" s="20"/>
    </row>
    <row r="1853" spans="1:5">
      <c r="A1853" s="17">
        <v>31</v>
      </c>
      <c r="B1853" s="18" t="s">
        <v>1916</v>
      </c>
      <c r="C1853" s="19">
        <v>20103196400474</v>
      </c>
      <c r="D1853" s="20">
        <f>1051937.65/1000</f>
        <v>1051.9376499999998</v>
      </c>
      <c r="E1853" s="20"/>
    </row>
    <row r="1854" spans="1:5">
      <c r="A1854" s="17">
        <v>32</v>
      </c>
      <c r="B1854" s="18" t="s">
        <v>768</v>
      </c>
      <c r="C1854" s="19">
        <v>2210201810110</v>
      </c>
      <c r="D1854" s="20">
        <f>1024472.75/1000</f>
        <v>1024.4727499999999</v>
      </c>
      <c r="E1854" s="20"/>
    </row>
    <row r="1855" spans="1:5">
      <c r="A1855" s="17">
        <v>33</v>
      </c>
      <c r="B1855" s="18" t="s">
        <v>665</v>
      </c>
      <c r="C1855" s="19">
        <v>20308196710012</v>
      </c>
      <c r="D1855" s="20">
        <f>1000000/1000</f>
        <v>1000</v>
      </c>
      <c r="E1855" s="20"/>
    </row>
    <row r="1856" spans="1:5">
      <c r="A1856" s="17">
        <v>34</v>
      </c>
      <c r="B1856" s="18" t="s">
        <v>915</v>
      </c>
      <c r="C1856" s="19">
        <v>11502195110117</v>
      </c>
      <c r="D1856" s="20">
        <f>976705.33/1000</f>
        <v>976.70533</v>
      </c>
      <c r="E1856" s="20"/>
    </row>
    <row r="1857" spans="1:5">
      <c r="A1857" s="17">
        <v>35</v>
      </c>
      <c r="B1857" s="18" t="s">
        <v>669</v>
      </c>
      <c r="C1857" s="19">
        <v>20302198601755</v>
      </c>
      <c r="D1857" s="20">
        <f>965800.1/1000</f>
        <v>965.80009999999993</v>
      </c>
      <c r="E1857" s="20"/>
    </row>
    <row r="1858" spans="1:5">
      <c r="A1858" s="17">
        <v>36</v>
      </c>
      <c r="B1858" s="18" t="s">
        <v>3284</v>
      </c>
      <c r="C1858" s="19">
        <v>608200410021</v>
      </c>
      <c r="D1858" s="20">
        <f>937885/1000</f>
        <v>937.88499999999999</v>
      </c>
      <c r="E1858" s="20"/>
    </row>
    <row r="1859" spans="1:5">
      <c r="A1859" s="17">
        <v>37</v>
      </c>
      <c r="B1859" s="18" t="s">
        <v>676</v>
      </c>
      <c r="C1859" s="19">
        <v>22511197900308</v>
      </c>
      <c r="D1859" s="20">
        <f>920047.03/1000</f>
        <v>920.04703000000006</v>
      </c>
      <c r="E1859" s="20"/>
    </row>
    <row r="1860" spans="1:5">
      <c r="A1860" s="17">
        <v>38</v>
      </c>
      <c r="B1860" s="18" t="s">
        <v>2481</v>
      </c>
      <c r="C1860" s="19">
        <v>22112199301433</v>
      </c>
      <c r="D1860" s="20">
        <f>874053.45/1000</f>
        <v>874.05345</v>
      </c>
      <c r="E1860" s="20"/>
    </row>
    <row r="1861" spans="1:5">
      <c r="A1861" s="17">
        <v>39</v>
      </c>
      <c r="B1861" s="18" t="s">
        <v>677</v>
      </c>
      <c r="C1861" s="19">
        <v>11103196100509</v>
      </c>
      <c r="D1861" s="20">
        <f>855740.49/1000</f>
        <v>855.74049000000002</v>
      </c>
      <c r="E1861" s="20"/>
    </row>
    <row r="1862" spans="1:5">
      <c r="A1862" s="17">
        <v>40</v>
      </c>
      <c r="B1862" s="18" t="s">
        <v>3283</v>
      </c>
      <c r="C1862" s="19">
        <v>3010199610050</v>
      </c>
      <c r="D1862" s="20">
        <f>845445/1000</f>
        <v>845.44500000000005</v>
      </c>
      <c r="E1862" s="20"/>
    </row>
    <row r="1863" spans="1:5">
      <c r="A1863" s="17">
        <v>41</v>
      </c>
      <c r="B1863" s="18" t="s">
        <v>917</v>
      </c>
      <c r="C1863" s="19">
        <v>12508195710026</v>
      </c>
      <c r="D1863" s="20">
        <f>811060.93/1000</f>
        <v>811.0609300000001</v>
      </c>
      <c r="E1863" s="20"/>
    </row>
    <row r="1864" spans="1:5">
      <c r="A1864" s="17">
        <v>42</v>
      </c>
      <c r="B1864" s="18" t="s">
        <v>670</v>
      </c>
      <c r="C1864" s="19">
        <v>10409197410037</v>
      </c>
      <c r="D1864" s="20">
        <f>800163.47/1000</f>
        <v>800.16346999999996</v>
      </c>
      <c r="E1864" s="20"/>
    </row>
    <row r="1865" spans="1:5">
      <c r="A1865" s="17">
        <v>43</v>
      </c>
      <c r="B1865" s="18" t="s">
        <v>664</v>
      </c>
      <c r="C1865" s="19">
        <v>20309196400024</v>
      </c>
      <c r="D1865" s="20">
        <f>767750.7/1000</f>
        <v>767.75069999999994</v>
      </c>
      <c r="E1865" s="20"/>
    </row>
    <row r="1866" spans="1:5">
      <c r="A1866" s="17">
        <v>44</v>
      </c>
      <c r="B1866" s="18" t="s">
        <v>1917</v>
      </c>
      <c r="C1866" s="19">
        <v>1606200910114</v>
      </c>
      <c r="D1866" s="20">
        <f>756778.9/1000</f>
        <v>756.77890000000002</v>
      </c>
      <c r="E1866" s="20"/>
    </row>
    <row r="1867" spans="1:5">
      <c r="A1867" s="17">
        <v>45</v>
      </c>
      <c r="B1867" s="18" t="s">
        <v>672</v>
      </c>
      <c r="C1867" s="19">
        <v>22102196900736</v>
      </c>
      <c r="D1867" s="20">
        <f>714090.77/1000</f>
        <v>714.09077000000002</v>
      </c>
      <c r="E1867" s="20"/>
    </row>
    <row r="1868" spans="1:5">
      <c r="A1868" s="17">
        <v>46</v>
      </c>
      <c r="B1868" s="18" t="s">
        <v>1294</v>
      </c>
      <c r="C1868" s="19">
        <v>11601196100046</v>
      </c>
      <c r="D1868" s="20">
        <f>680040.33/1000</f>
        <v>680.04032999999993</v>
      </c>
      <c r="E1868" s="20"/>
    </row>
    <row r="1869" spans="1:5">
      <c r="A1869" s="17">
        <v>47</v>
      </c>
      <c r="B1869" s="18" t="s">
        <v>2482</v>
      </c>
      <c r="C1869" s="19">
        <v>1606199710245</v>
      </c>
      <c r="D1869" s="20">
        <f>724775.32/1000</f>
        <v>724.77531999999997</v>
      </c>
      <c r="E1869" s="20"/>
    </row>
    <row r="1870" spans="1:5">
      <c r="A1870" s="17">
        <v>48</v>
      </c>
      <c r="B1870" s="18" t="s">
        <v>2483</v>
      </c>
      <c r="C1870" s="19">
        <v>21302199901545</v>
      </c>
      <c r="D1870" s="20">
        <f>634055.89/1000</f>
        <v>634.05588999999998</v>
      </c>
      <c r="E1870" s="20"/>
    </row>
    <row r="1871" spans="1:5">
      <c r="A1871" s="17">
        <v>49</v>
      </c>
      <c r="B1871" s="18" t="s">
        <v>674</v>
      </c>
      <c r="C1871" s="19">
        <v>22006198900563</v>
      </c>
      <c r="D1871" s="20">
        <f>604138/1000</f>
        <v>604.13800000000003</v>
      </c>
      <c r="E1871" s="20"/>
    </row>
    <row r="1872" spans="1:5">
      <c r="A1872" s="17">
        <v>50</v>
      </c>
      <c r="B1872" s="18" t="s">
        <v>666</v>
      </c>
      <c r="C1872" s="19">
        <v>20209198900513</v>
      </c>
      <c r="D1872" s="20">
        <f>587406.25/1000</f>
        <v>587.40625</v>
      </c>
      <c r="E1872" s="20"/>
    </row>
    <row r="1873" spans="1:5">
      <c r="A1873" s="17">
        <v>51</v>
      </c>
      <c r="B1873" s="18" t="s">
        <v>673</v>
      </c>
      <c r="C1873" s="19">
        <v>20108199100603</v>
      </c>
      <c r="D1873" s="20">
        <f>578767.66/1000</f>
        <v>578.76765999999998</v>
      </c>
      <c r="E1873" s="20"/>
    </row>
    <row r="1874" spans="1:5">
      <c r="A1874" s="17">
        <v>52</v>
      </c>
      <c r="B1874" s="18" t="s">
        <v>2484</v>
      </c>
      <c r="C1874" s="19">
        <v>102201010196</v>
      </c>
      <c r="D1874" s="20">
        <f>546688.82/1000</f>
        <v>546.68881999999996</v>
      </c>
      <c r="E1874" s="20"/>
    </row>
    <row r="1875" spans="1:5">
      <c r="A1875" s="17">
        <v>53</v>
      </c>
      <c r="B1875" s="18" t="s">
        <v>3285</v>
      </c>
      <c r="C1875" s="19">
        <v>101199210169</v>
      </c>
      <c r="D1875" s="20">
        <f>530604/1000</f>
        <v>530.60400000000004</v>
      </c>
      <c r="E1875" s="20"/>
    </row>
    <row r="1876" spans="1:5">
      <c r="A1876" s="17">
        <v>54</v>
      </c>
      <c r="B1876" s="18" t="s">
        <v>3286</v>
      </c>
      <c r="C1876" s="19">
        <v>2801199810250</v>
      </c>
      <c r="D1876" s="20">
        <f>517532/1000</f>
        <v>517.53200000000004</v>
      </c>
      <c r="E1876" s="20"/>
    </row>
    <row r="1877" spans="1:5">
      <c r="A1877" s="17">
        <v>55</v>
      </c>
      <c r="B1877" s="18" t="s">
        <v>914</v>
      </c>
      <c r="C1877" s="19">
        <v>204200910036</v>
      </c>
      <c r="D1877" s="20">
        <f>505687.66/1000</f>
        <v>505.68765999999999</v>
      </c>
      <c r="E1877" s="20"/>
    </row>
    <row r="1878" spans="1:5">
      <c r="A1878" s="17">
        <v>56</v>
      </c>
      <c r="B1878" s="18" t="s">
        <v>1074</v>
      </c>
      <c r="C1878" s="19" t="s">
        <v>2002</v>
      </c>
      <c r="D1878" s="20"/>
      <c r="E1878" s="20">
        <v>118050.63459</v>
      </c>
    </row>
    <row r="1879" spans="1:5">
      <c r="A1879" s="17">
        <v>57</v>
      </c>
      <c r="B1879" s="18" t="s">
        <v>2485</v>
      </c>
      <c r="C1879" s="19" t="s">
        <v>1652</v>
      </c>
      <c r="D1879" s="20"/>
      <c r="E1879" s="20">
        <v>111147.02949000002</v>
      </c>
    </row>
    <row r="1880" spans="1:5">
      <c r="A1880" s="17">
        <v>58</v>
      </c>
      <c r="B1880" s="18" t="s">
        <v>1854</v>
      </c>
      <c r="C1880" s="19" t="s">
        <v>3287</v>
      </c>
      <c r="D1880" s="20"/>
      <c r="E1880" s="20">
        <v>25110.236989999998</v>
      </c>
    </row>
    <row r="1881" spans="1:5">
      <c r="A1881" s="17">
        <v>59</v>
      </c>
      <c r="B1881" s="18" t="s">
        <v>3289</v>
      </c>
      <c r="C1881" s="19" t="s">
        <v>1653</v>
      </c>
      <c r="D1881" s="20"/>
      <c r="E1881" s="20">
        <v>1738.3146400000001</v>
      </c>
    </row>
    <row r="1882" spans="1:5">
      <c r="A1882" s="17">
        <v>60</v>
      </c>
      <c r="B1882" s="18" t="s">
        <v>3290</v>
      </c>
      <c r="C1882" s="19" t="s">
        <v>3288</v>
      </c>
      <c r="D1882" s="20"/>
      <c r="E1882" s="20">
        <v>611.53693999999996</v>
      </c>
    </row>
    <row r="1883" spans="1:5" s="16" customFormat="1">
      <c r="A1883" s="17"/>
      <c r="B1883" s="25" t="s">
        <v>2</v>
      </c>
      <c r="C1883" s="27"/>
      <c r="D1883" s="35">
        <f>SUM(D1823:D1882)</f>
        <v>317458.46691000008</v>
      </c>
      <c r="E1883" s="35">
        <f>SUM(E1823:E1882)</f>
        <v>378707.95264999999</v>
      </c>
    </row>
    <row r="1884" spans="1:5">
      <c r="A1884" s="4" t="s">
        <v>48</v>
      </c>
      <c r="B1884" s="4"/>
      <c r="C1884" s="4"/>
      <c r="D1884" s="4"/>
      <c r="E1884" s="4"/>
    </row>
    <row r="1885" spans="1:5">
      <c r="A1885" s="17">
        <v>1</v>
      </c>
      <c r="B1885" s="18" t="s">
        <v>3274</v>
      </c>
      <c r="C1885" s="19">
        <v>1507201010020</v>
      </c>
      <c r="D1885" s="20">
        <f>125705428.12/1000</f>
        <v>125705.42812000001</v>
      </c>
      <c r="E1885" s="20"/>
    </row>
    <row r="1886" spans="1:5">
      <c r="A1886" s="17">
        <v>2</v>
      </c>
      <c r="B1886" s="18" t="s">
        <v>213</v>
      </c>
      <c r="C1886" s="19">
        <v>22307199200983</v>
      </c>
      <c r="D1886" s="20">
        <f>32130169.8/1000</f>
        <v>32130.1698</v>
      </c>
      <c r="E1886" s="20"/>
    </row>
    <row r="1887" spans="1:5">
      <c r="A1887" s="17">
        <v>3</v>
      </c>
      <c r="B1887" s="36" t="s">
        <v>210</v>
      </c>
      <c r="C1887" s="19">
        <v>20203199700436</v>
      </c>
      <c r="D1887" s="37">
        <f>25578189.1/1000</f>
        <v>25578.189100000003</v>
      </c>
      <c r="E1887" s="20"/>
    </row>
    <row r="1888" spans="1:5">
      <c r="A1888" s="17">
        <v>4</v>
      </c>
      <c r="B1888" s="36" t="s">
        <v>212</v>
      </c>
      <c r="C1888" s="19">
        <v>21502199301893</v>
      </c>
      <c r="D1888" s="37">
        <f>24572502.22/1000</f>
        <v>24572.502219999998</v>
      </c>
      <c r="E1888" s="20"/>
    </row>
    <row r="1889" spans="1:5">
      <c r="A1889" s="17">
        <v>5</v>
      </c>
      <c r="B1889" s="18" t="s">
        <v>211</v>
      </c>
      <c r="C1889" s="19">
        <v>20509196300057</v>
      </c>
      <c r="D1889" s="20">
        <f>23858031.85/1000</f>
        <v>23858.031850000003</v>
      </c>
      <c r="E1889" s="20"/>
    </row>
    <row r="1890" spans="1:5">
      <c r="A1890" s="17">
        <v>6</v>
      </c>
      <c r="B1890" s="18" t="s">
        <v>1116</v>
      </c>
      <c r="C1890" s="19">
        <v>507201210053</v>
      </c>
      <c r="D1890" s="20">
        <f>9927099.25/1000</f>
        <v>9927.0992499999993</v>
      </c>
      <c r="E1890" s="20"/>
    </row>
    <row r="1891" spans="1:5">
      <c r="A1891" s="17">
        <v>7</v>
      </c>
      <c r="B1891" s="18" t="s">
        <v>3275</v>
      </c>
      <c r="C1891" s="19">
        <v>1012202110201</v>
      </c>
      <c r="D1891" s="20">
        <f>4502205.91/1000</f>
        <v>4502.2059100000006</v>
      </c>
      <c r="E1891" s="20">
        <v>2171.5</v>
      </c>
    </row>
    <row r="1892" spans="1:5">
      <c r="A1892" s="17">
        <v>8</v>
      </c>
      <c r="B1892" s="18" t="s">
        <v>1318</v>
      </c>
      <c r="C1892" s="19">
        <v>2107202210216</v>
      </c>
      <c r="D1892" s="20">
        <f>4063878.35/1000</f>
        <v>4063.87835</v>
      </c>
      <c r="E1892" s="20"/>
    </row>
    <row r="1893" spans="1:5">
      <c r="A1893" s="17">
        <v>9</v>
      </c>
      <c r="B1893" s="18" t="s">
        <v>3273</v>
      </c>
      <c r="C1893" s="19">
        <v>10608196600921</v>
      </c>
      <c r="D1893" s="20">
        <f>2800305.84/1000</f>
        <v>2800.30584</v>
      </c>
      <c r="E1893" s="20"/>
    </row>
    <row r="1894" spans="1:5">
      <c r="A1894" s="17">
        <v>10</v>
      </c>
      <c r="B1894" s="18" t="s">
        <v>1698</v>
      </c>
      <c r="C1894" s="19">
        <v>1002201710253</v>
      </c>
      <c r="D1894" s="20">
        <f>1822292.45/1000</f>
        <v>1822.2924499999999</v>
      </c>
      <c r="E1894" s="20"/>
    </row>
    <row r="1895" spans="1:5">
      <c r="A1895" s="17">
        <v>11</v>
      </c>
      <c r="B1895" s="18" t="s">
        <v>214</v>
      </c>
      <c r="C1895" s="19">
        <v>21202197601405</v>
      </c>
      <c r="D1895" s="20">
        <f>1935000/1000</f>
        <v>1935</v>
      </c>
      <c r="E1895" s="20"/>
    </row>
    <row r="1896" spans="1:5">
      <c r="A1896" s="17">
        <v>12</v>
      </c>
      <c r="B1896" s="18" t="s">
        <v>1118</v>
      </c>
      <c r="C1896" s="19">
        <v>21103198500492</v>
      </c>
      <c r="D1896" s="20">
        <f>1662211.69/1000</f>
        <v>1662.2116899999999</v>
      </c>
      <c r="E1896" s="20"/>
    </row>
    <row r="1897" spans="1:5">
      <c r="A1897" s="17">
        <v>13</v>
      </c>
      <c r="B1897" s="18" t="s">
        <v>1319</v>
      </c>
      <c r="C1897" s="19">
        <v>20209199700280</v>
      </c>
      <c r="D1897" s="20">
        <f>1577558.09/1000</f>
        <v>1577.55809</v>
      </c>
      <c r="E1897" s="20"/>
    </row>
    <row r="1898" spans="1:5">
      <c r="A1898" s="17">
        <v>14</v>
      </c>
      <c r="B1898" s="18" t="s">
        <v>554</v>
      </c>
      <c r="C1898" s="19">
        <v>20308196500712</v>
      </c>
      <c r="D1898" s="20">
        <f>1400000/1000</f>
        <v>1400</v>
      </c>
      <c r="E1898" s="20"/>
    </row>
    <row r="1899" spans="1:5">
      <c r="A1899" s="17">
        <v>15</v>
      </c>
      <c r="B1899" s="18" t="s">
        <v>1117</v>
      </c>
      <c r="C1899" s="19">
        <v>10512199101191</v>
      </c>
      <c r="D1899" s="20">
        <f>1244607.22/1000</f>
        <v>1244.6072199999999</v>
      </c>
      <c r="E1899" s="20"/>
    </row>
    <row r="1900" spans="1:5">
      <c r="A1900" s="17">
        <v>16</v>
      </c>
      <c r="B1900" s="18" t="s">
        <v>1320</v>
      </c>
      <c r="C1900" s="19">
        <v>21610198200620</v>
      </c>
      <c r="D1900" s="20">
        <f>1190417.15/1000</f>
        <v>1190.41715</v>
      </c>
      <c r="E1900" s="20"/>
    </row>
    <row r="1901" spans="1:5">
      <c r="A1901" s="17">
        <v>17</v>
      </c>
      <c r="B1901" s="18" t="s">
        <v>1770</v>
      </c>
      <c r="C1901" s="19">
        <v>3110202210250</v>
      </c>
      <c r="D1901" s="20">
        <f>1090186.63/1000</f>
        <v>1090.1866299999999</v>
      </c>
      <c r="E1901" s="20"/>
    </row>
    <row r="1902" spans="1:5">
      <c r="A1902" s="17">
        <v>18</v>
      </c>
      <c r="B1902" s="18" t="s">
        <v>3276</v>
      </c>
      <c r="C1902" s="19">
        <v>811200110141</v>
      </c>
      <c r="D1902" s="20">
        <f>1088340.14/1000</f>
        <v>1088.3401399999998</v>
      </c>
      <c r="E1902" s="20"/>
    </row>
    <row r="1903" spans="1:5">
      <c r="A1903" s="17">
        <v>19</v>
      </c>
      <c r="B1903" s="18" t="s">
        <v>553</v>
      </c>
      <c r="C1903" s="19">
        <v>23009197000951</v>
      </c>
      <c r="D1903" s="20">
        <f>1081132.02/1000</f>
        <v>1081.13202</v>
      </c>
      <c r="E1903" s="20"/>
    </row>
    <row r="1904" spans="1:5">
      <c r="A1904" s="17">
        <v>20</v>
      </c>
      <c r="B1904" s="18" t="s">
        <v>1119</v>
      </c>
      <c r="C1904" s="19">
        <v>22010197601026</v>
      </c>
      <c r="D1904" s="20">
        <f>1048385/1000</f>
        <v>1048.385</v>
      </c>
      <c r="E1904" s="20"/>
    </row>
    <row r="1905" spans="1:5">
      <c r="A1905" s="17">
        <v>21</v>
      </c>
      <c r="B1905" s="18" t="s">
        <v>215</v>
      </c>
      <c r="C1905" s="19">
        <v>21407199900754</v>
      </c>
      <c r="D1905" s="20">
        <f>1015620.76/1000</f>
        <v>1015.62076</v>
      </c>
      <c r="E1905" s="20"/>
    </row>
    <row r="1906" spans="1:5">
      <c r="A1906" s="17">
        <v>22</v>
      </c>
      <c r="B1906" s="18" t="s">
        <v>924</v>
      </c>
      <c r="C1906" s="19">
        <v>20110195600384</v>
      </c>
      <c r="D1906" s="20">
        <f>793442.14/1000</f>
        <v>793.44213999999999</v>
      </c>
      <c r="E1906" s="20"/>
    </row>
    <row r="1907" spans="1:5">
      <c r="A1907" s="17">
        <v>23</v>
      </c>
      <c r="B1907" s="18" t="s">
        <v>905</v>
      </c>
      <c r="C1907" s="19">
        <v>20707198601707</v>
      </c>
      <c r="D1907" s="20">
        <f>686736.45/1000</f>
        <v>686.73644999999999</v>
      </c>
      <c r="E1907" s="20"/>
    </row>
    <row r="1908" spans="1:5">
      <c r="A1908" s="17">
        <v>24</v>
      </c>
      <c r="B1908" s="18" t="s">
        <v>2454</v>
      </c>
      <c r="C1908" s="19">
        <v>1301196310018</v>
      </c>
      <c r="D1908" s="20">
        <f>731492.51/1000</f>
        <v>731.49251000000004</v>
      </c>
      <c r="E1908" s="20"/>
    </row>
    <row r="1909" spans="1:5">
      <c r="A1909" s="17">
        <v>25</v>
      </c>
      <c r="B1909" s="18" t="s">
        <v>440</v>
      </c>
      <c r="C1909" s="19">
        <v>21009199100175</v>
      </c>
      <c r="D1909" s="20">
        <f>632001.16/1000</f>
        <v>632.00116000000003</v>
      </c>
      <c r="E1909" s="20"/>
    </row>
    <row r="1910" spans="1:5">
      <c r="A1910" s="17">
        <v>26</v>
      </c>
      <c r="B1910" s="18" t="s">
        <v>216</v>
      </c>
      <c r="C1910" s="19">
        <v>21212198000998</v>
      </c>
      <c r="D1910" s="20">
        <f>563519.74/1000</f>
        <v>563.51973999999996</v>
      </c>
      <c r="E1910" s="20"/>
    </row>
    <row r="1911" spans="1:5">
      <c r="A1911" s="17">
        <v>27</v>
      </c>
      <c r="B1911" s="18" t="s">
        <v>217</v>
      </c>
      <c r="C1911" s="19">
        <v>22304199200209</v>
      </c>
      <c r="D1911" s="20">
        <f>561737.12/1000</f>
        <v>561.73712</v>
      </c>
      <c r="E1911" s="20"/>
    </row>
    <row r="1912" spans="1:5">
      <c r="A1912" s="17">
        <v>28</v>
      </c>
      <c r="B1912" s="18" t="s">
        <v>2455</v>
      </c>
      <c r="C1912" s="19" t="s">
        <v>1651</v>
      </c>
      <c r="D1912" s="20"/>
      <c r="E1912" s="20">
        <v>7696.4472599999999</v>
      </c>
    </row>
    <row r="1913" spans="1:5">
      <c r="A1913" s="17">
        <v>29</v>
      </c>
      <c r="B1913" s="18" t="s">
        <v>2001</v>
      </c>
      <c r="C1913" s="19" t="s">
        <v>2000</v>
      </c>
      <c r="D1913" s="20"/>
      <c r="E1913" s="20">
        <v>1040.98172</v>
      </c>
    </row>
    <row r="1914" spans="1:5">
      <c r="A1914" s="17"/>
      <c r="B1914" s="25" t="s">
        <v>2</v>
      </c>
      <c r="C1914" s="27"/>
      <c r="D1914" s="35">
        <f>SUM(D1885:D1913)</f>
        <v>273262.49071000004</v>
      </c>
      <c r="E1914" s="35">
        <f>SUM(E1885:E1913)</f>
        <v>10908.928980000001</v>
      </c>
    </row>
    <row r="1915" spans="1:5">
      <c r="A1915" s="4" t="s">
        <v>18</v>
      </c>
      <c r="B1915" s="4"/>
      <c r="C1915" s="4"/>
      <c r="D1915" s="4"/>
      <c r="E1915" s="4"/>
    </row>
    <row r="1916" spans="1:5">
      <c r="A1916" s="17">
        <v>1</v>
      </c>
      <c r="B1916" s="18" t="s">
        <v>1771</v>
      </c>
      <c r="C1916" s="21">
        <v>12204198300231</v>
      </c>
      <c r="D1916" s="22">
        <f>8223132/1000</f>
        <v>8223.1319999999996</v>
      </c>
      <c r="E1916" s="20"/>
    </row>
    <row r="1917" spans="1:5">
      <c r="A1917" s="17">
        <v>2</v>
      </c>
      <c r="B1917" s="18" t="s">
        <v>986</v>
      </c>
      <c r="C1917" s="21">
        <v>20411198801486</v>
      </c>
      <c r="D1917" s="22">
        <f>6326508.48/1000</f>
        <v>6326.5084800000004</v>
      </c>
      <c r="E1917" s="20"/>
    </row>
    <row r="1918" spans="1:5">
      <c r="A1918" s="17">
        <v>3</v>
      </c>
      <c r="B1918" s="18" t="s">
        <v>987</v>
      </c>
      <c r="C1918" s="21">
        <v>20112198900621</v>
      </c>
      <c r="D1918" s="22">
        <f>3904304.74/1000</f>
        <v>3904.30474</v>
      </c>
      <c r="E1918" s="20"/>
    </row>
    <row r="1919" spans="1:5">
      <c r="A1919" s="17">
        <v>4</v>
      </c>
      <c r="B1919" s="18" t="s">
        <v>1114</v>
      </c>
      <c r="C1919" s="21">
        <v>22507199500530</v>
      </c>
      <c r="D1919" s="22">
        <f>2548247.55/1000</f>
        <v>2548.2475499999996</v>
      </c>
      <c r="E1919" s="20"/>
    </row>
    <row r="1920" spans="1:5">
      <c r="A1920" s="17">
        <v>5</v>
      </c>
      <c r="B1920" s="18" t="s">
        <v>1307</v>
      </c>
      <c r="C1920" s="21">
        <v>1006201510214</v>
      </c>
      <c r="D1920" s="22">
        <f>1997282.85/1000</f>
        <v>1997.2828500000001</v>
      </c>
      <c r="E1920" s="20"/>
    </row>
    <row r="1921" spans="1:5">
      <c r="A1921" s="17">
        <v>6</v>
      </c>
      <c r="B1921" s="18" t="s">
        <v>1077</v>
      </c>
      <c r="C1921" s="21">
        <v>11503196000424</v>
      </c>
      <c r="D1921" s="22">
        <f>667632/1000</f>
        <v>667.63199999999995</v>
      </c>
      <c r="E1921" s="20"/>
    </row>
    <row r="1922" spans="1:5">
      <c r="A1922" s="17">
        <v>7</v>
      </c>
      <c r="B1922" s="18" t="s">
        <v>1115</v>
      </c>
      <c r="C1922" s="21" t="s">
        <v>2453</v>
      </c>
      <c r="D1922" s="22"/>
      <c r="E1922" s="20">
        <v>771.5</v>
      </c>
    </row>
    <row r="1923" spans="1:5">
      <c r="A1923" s="17"/>
      <c r="B1923" s="25" t="s">
        <v>2</v>
      </c>
      <c r="C1923" s="27"/>
      <c r="D1923" s="35">
        <f>SUM(D1916:D1922)</f>
        <v>23667.107620000002</v>
      </c>
      <c r="E1923" s="35">
        <f>SUM(E1916:E1922)</f>
        <v>771.5</v>
      </c>
    </row>
    <row r="1924" spans="1:5">
      <c r="A1924" s="4" t="s">
        <v>29</v>
      </c>
      <c r="B1924" s="4"/>
      <c r="C1924" s="4"/>
      <c r="D1924" s="4"/>
      <c r="E1924" s="4"/>
    </row>
    <row r="1925" spans="1:5">
      <c r="A1925" s="17">
        <v>1</v>
      </c>
      <c r="B1925" s="18" t="s">
        <v>3257</v>
      </c>
      <c r="C1925" s="19">
        <v>20603199700716</v>
      </c>
      <c r="D1925" s="22">
        <f>20329672/1000</f>
        <v>20329.671999999999</v>
      </c>
      <c r="E1925" s="20"/>
    </row>
    <row r="1926" spans="1:5">
      <c r="A1926" s="17">
        <v>2</v>
      </c>
      <c r="B1926" s="18" t="s">
        <v>206</v>
      </c>
      <c r="C1926" s="19">
        <v>21606198901139</v>
      </c>
      <c r="D1926" s="22">
        <f>18695157.64/1000</f>
        <v>18695.157640000001</v>
      </c>
      <c r="E1926" s="20"/>
    </row>
    <row r="1927" spans="1:5">
      <c r="A1927" s="17">
        <v>3</v>
      </c>
      <c r="B1927" s="18" t="s">
        <v>1772</v>
      </c>
      <c r="C1927" s="19">
        <v>1107201310167</v>
      </c>
      <c r="D1927" s="22">
        <f>13730924.7/1000</f>
        <v>13730.9247</v>
      </c>
      <c r="E1927" s="20"/>
    </row>
    <row r="1928" spans="1:5">
      <c r="A1928" s="17">
        <v>4</v>
      </c>
      <c r="B1928" s="18" t="s">
        <v>196</v>
      </c>
      <c r="C1928" s="19">
        <v>12203197200090</v>
      </c>
      <c r="D1928" s="22">
        <f>8092760/1000</f>
        <v>8092.76</v>
      </c>
      <c r="E1928" s="20"/>
    </row>
    <row r="1929" spans="1:5">
      <c r="A1929" s="17">
        <v>5</v>
      </c>
      <c r="B1929" s="18" t="s">
        <v>3258</v>
      </c>
      <c r="C1929" s="19">
        <v>808201610148</v>
      </c>
      <c r="D1929" s="22">
        <f>7120256.99/1000</f>
        <v>7120.2569899999999</v>
      </c>
      <c r="E1929" s="20"/>
    </row>
    <row r="1930" spans="1:5">
      <c r="A1930" s="17">
        <v>6</v>
      </c>
      <c r="B1930" s="18" t="s">
        <v>1774</v>
      </c>
      <c r="C1930" s="19">
        <v>1404201510262</v>
      </c>
      <c r="D1930" s="22">
        <f>4992656.79/1000</f>
        <v>4992.65679</v>
      </c>
      <c r="E1930" s="20"/>
    </row>
    <row r="1931" spans="1:5">
      <c r="A1931" s="17">
        <v>7</v>
      </c>
      <c r="B1931" s="18" t="s">
        <v>3261</v>
      </c>
      <c r="C1931" s="19">
        <v>907200410040</v>
      </c>
      <c r="D1931" s="22">
        <f>4642572/1000</f>
        <v>4642.5720000000001</v>
      </c>
      <c r="E1931" s="20"/>
    </row>
    <row r="1932" spans="1:5">
      <c r="A1932" s="17">
        <v>8</v>
      </c>
      <c r="B1932" s="18" t="s">
        <v>198</v>
      </c>
      <c r="C1932" s="19">
        <v>20105196010187</v>
      </c>
      <c r="D1932" s="22">
        <f>3876542.18/1000</f>
        <v>3876.5421800000004</v>
      </c>
      <c r="E1932" s="20"/>
    </row>
    <row r="1933" spans="1:5">
      <c r="A1933" s="17">
        <v>9</v>
      </c>
      <c r="B1933" s="18" t="s">
        <v>3259</v>
      </c>
      <c r="C1933" s="19">
        <v>21706195410070</v>
      </c>
      <c r="D1933" s="22">
        <f>2794000/1000</f>
        <v>2794</v>
      </c>
      <c r="E1933" s="20"/>
    </row>
    <row r="1934" spans="1:5">
      <c r="A1934" s="17">
        <v>10</v>
      </c>
      <c r="B1934" s="18" t="s">
        <v>1777</v>
      </c>
      <c r="C1934" s="19">
        <v>2607201310058</v>
      </c>
      <c r="D1934" s="22">
        <f>2740240.65/1000</f>
        <v>2740.2406499999997</v>
      </c>
      <c r="E1934" s="20"/>
    </row>
    <row r="1935" spans="1:5">
      <c r="A1935" s="17">
        <v>11</v>
      </c>
      <c r="B1935" s="18" t="s">
        <v>3262</v>
      </c>
      <c r="C1935" s="19">
        <v>2211199610028</v>
      </c>
      <c r="D1935" s="22">
        <f>2551968.77/1000</f>
        <v>2551.9687699999999</v>
      </c>
      <c r="E1935" s="20">
        <v>1741.8</v>
      </c>
    </row>
    <row r="1936" spans="1:5">
      <c r="A1936" s="17">
        <v>12</v>
      </c>
      <c r="B1936" s="18" t="s">
        <v>207</v>
      </c>
      <c r="C1936" s="19">
        <v>22209198000609</v>
      </c>
      <c r="D1936" s="22">
        <f>2309820.6/1000</f>
        <v>2309.8206</v>
      </c>
      <c r="E1936" s="20"/>
    </row>
    <row r="1937" spans="1:5">
      <c r="A1937" s="17">
        <v>13</v>
      </c>
      <c r="B1937" s="18" t="s">
        <v>195</v>
      </c>
      <c r="C1937" s="19">
        <v>11204196110115</v>
      </c>
      <c r="D1937" s="22">
        <f>1803195/1000</f>
        <v>1803.1949999999999</v>
      </c>
      <c r="E1937" s="20"/>
    </row>
    <row r="1938" spans="1:5">
      <c r="A1938" s="17">
        <v>14</v>
      </c>
      <c r="B1938" s="18" t="s">
        <v>1303</v>
      </c>
      <c r="C1938" s="19">
        <v>21002198100575</v>
      </c>
      <c r="D1938" s="22">
        <f>1801979.54/1000</f>
        <v>1801.97954</v>
      </c>
      <c r="E1938" s="20"/>
    </row>
    <row r="1939" spans="1:5">
      <c r="A1939" s="17">
        <v>15</v>
      </c>
      <c r="B1939" s="18" t="s">
        <v>200</v>
      </c>
      <c r="C1939" s="19">
        <v>20607197600861</v>
      </c>
      <c r="D1939" s="22">
        <f>1683954.5/1000</f>
        <v>1683.9545000000001</v>
      </c>
      <c r="E1939" s="20"/>
    </row>
    <row r="1940" spans="1:5">
      <c r="A1940" s="17">
        <v>16</v>
      </c>
      <c r="B1940" s="18" t="s">
        <v>194</v>
      </c>
      <c r="C1940" s="19">
        <v>11008198301315</v>
      </c>
      <c r="D1940" s="22">
        <f>1592396.21/1000</f>
        <v>1592.3962099999999</v>
      </c>
      <c r="E1940" s="20"/>
    </row>
    <row r="1941" spans="1:5">
      <c r="A1941" s="17">
        <v>17</v>
      </c>
      <c r="B1941" s="18" t="s">
        <v>1775</v>
      </c>
      <c r="C1941" s="19">
        <v>1612200910497</v>
      </c>
      <c r="D1941" s="22">
        <f>1542408.91/1000</f>
        <v>1542.4089099999999</v>
      </c>
      <c r="E1941" s="20"/>
    </row>
    <row r="1942" spans="1:5">
      <c r="A1942" s="17">
        <v>18</v>
      </c>
      <c r="B1942" s="18" t="s">
        <v>1776</v>
      </c>
      <c r="C1942" s="19">
        <v>1809201910110</v>
      </c>
      <c r="D1942" s="22">
        <f>1467000.14/1000</f>
        <v>1467.0001399999999</v>
      </c>
      <c r="E1942" s="20"/>
    </row>
    <row r="1943" spans="1:5">
      <c r="A1943" s="17">
        <v>19</v>
      </c>
      <c r="B1943" s="18" t="s">
        <v>1855</v>
      </c>
      <c r="C1943" s="19">
        <v>1405201110083</v>
      </c>
      <c r="D1943" s="22">
        <f>1409215.85/1000</f>
        <v>1409.21585</v>
      </c>
      <c r="E1943" s="20"/>
    </row>
    <row r="1944" spans="1:5">
      <c r="A1944" s="17">
        <v>20</v>
      </c>
      <c r="B1944" s="18" t="s">
        <v>769</v>
      </c>
      <c r="C1944" s="19">
        <v>2409199210094</v>
      </c>
      <c r="D1944" s="22">
        <f>1292261.38/1000</f>
        <v>1292.2613799999999</v>
      </c>
      <c r="E1944" s="20"/>
    </row>
    <row r="1945" spans="1:5">
      <c r="A1945" s="17">
        <v>21</v>
      </c>
      <c r="B1945" s="18" t="s">
        <v>1331</v>
      </c>
      <c r="C1945" s="19">
        <v>109201410134</v>
      </c>
      <c r="D1945" s="22">
        <f>1261559.87/1000</f>
        <v>1261.55987</v>
      </c>
      <c r="E1945" s="20"/>
    </row>
    <row r="1946" spans="1:5">
      <c r="A1946" s="17">
        <v>22</v>
      </c>
      <c r="B1946" s="18" t="s">
        <v>205</v>
      </c>
      <c r="C1946" s="19">
        <v>21304197000421</v>
      </c>
      <c r="D1946" s="22">
        <f>1257764.31/1000</f>
        <v>1257.76431</v>
      </c>
      <c r="E1946" s="20"/>
    </row>
    <row r="1947" spans="1:5">
      <c r="A1947" s="17">
        <v>23</v>
      </c>
      <c r="B1947" s="18" t="s">
        <v>1773</v>
      </c>
      <c r="C1947" s="19">
        <v>12111198900376</v>
      </c>
      <c r="D1947" s="22">
        <f>1173368/1000</f>
        <v>1173.3679999999999</v>
      </c>
      <c r="E1947" s="20"/>
    </row>
    <row r="1948" spans="1:5">
      <c r="A1948" s="17">
        <v>24</v>
      </c>
      <c r="B1948" s="18" t="s">
        <v>3263</v>
      </c>
      <c r="C1948" s="19">
        <v>511201410132</v>
      </c>
      <c r="D1948" s="22">
        <f>1156202.57/1000</f>
        <v>1156.2025700000002</v>
      </c>
      <c r="E1948" s="20"/>
    </row>
    <row r="1949" spans="1:5">
      <c r="A1949" s="17">
        <v>25</v>
      </c>
      <c r="B1949" s="18" t="s">
        <v>192</v>
      </c>
      <c r="C1949" s="19">
        <v>1407201410033</v>
      </c>
      <c r="D1949" s="22">
        <f>1156120.52/1000</f>
        <v>1156.1205199999999</v>
      </c>
      <c r="E1949" s="20"/>
    </row>
    <row r="1950" spans="1:5">
      <c r="A1950" s="17">
        <v>26</v>
      </c>
      <c r="B1950" s="18" t="s">
        <v>1332</v>
      </c>
      <c r="C1950" s="19">
        <v>21004195900345</v>
      </c>
      <c r="D1950" s="22">
        <f>1156522.97/1000</f>
        <v>1156.52297</v>
      </c>
      <c r="E1950" s="20"/>
    </row>
    <row r="1951" spans="1:5">
      <c r="A1951" s="17">
        <v>27</v>
      </c>
      <c r="B1951" s="18" t="s">
        <v>907</v>
      </c>
      <c r="C1951" s="19">
        <v>204200910103</v>
      </c>
      <c r="D1951" s="22">
        <f>1082558.28/1000</f>
        <v>1082.55828</v>
      </c>
      <c r="E1951" s="20">
        <v>663.8</v>
      </c>
    </row>
    <row r="1952" spans="1:5">
      <c r="A1952" s="17">
        <v>28</v>
      </c>
      <c r="B1952" s="18" t="s">
        <v>197</v>
      </c>
      <c r="C1952" s="19">
        <v>12610196810021</v>
      </c>
      <c r="D1952" s="22">
        <f>1062664.8/1000</f>
        <v>1062.6648</v>
      </c>
      <c r="E1952" s="20"/>
    </row>
    <row r="1953" spans="1:5">
      <c r="A1953" s="17">
        <v>29</v>
      </c>
      <c r="B1953" s="18" t="s">
        <v>191</v>
      </c>
      <c r="C1953" s="19">
        <v>404201110150</v>
      </c>
      <c r="D1953" s="22">
        <f>1023534.24/1000</f>
        <v>1023.53424</v>
      </c>
      <c r="E1953" s="20"/>
    </row>
    <row r="1954" spans="1:5">
      <c r="A1954" s="17">
        <v>30</v>
      </c>
      <c r="B1954" s="18" t="s">
        <v>1296</v>
      </c>
      <c r="C1954" s="19">
        <v>20602198700852</v>
      </c>
      <c r="D1954" s="22">
        <f>974226.4/1000</f>
        <v>974.22640000000001</v>
      </c>
      <c r="E1954" s="20"/>
    </row>
    <row r="1955" spans="1:5">
      <c r="A1955" s="17">
        <v>31</v>
      </c>
      <c r="B1955" s="18" t="s">
        <v>812</v>
      </c>
      <c r="C1955" s="19">
        <v>23007193910014</v>
      </c>
      <c r="D1955" s="22">
        <f>900000/1000</f>
        <v>900</v>
      </c>
      <c r="E1955" s="20"/>
    </row>
    <row r="1956" spans="1:5">
      <c r="A1956" s="17">
        <v>32</v>
      </c>
      <c r="B1956" s="18" t="s">
        <v>193</v>
      </c>
      <c r="C1956" s="19">
        <v>10903198600351</v>
      </c>
      <c r="D1956" s="22">
        <f>795718.43/1000</f>
        <v>795.71843000000001</v>
      </c>
      <c r="E1956" s="20"/>
    </row>
    <row r="1957" spans="1:5">
      <c r="A1957" s="17">
        <v>33</v>
      </c>
      <c r="B1957" s="18" t="s">
        <v>208</v>
      </c>
      <c r="C1957" s="19">
        <v>22505195100577</v>
      </c>
      <c r="D1957" s="22">
        <f>767733.76/1000</f>
        <v>767.73375999999996</v>
      </c>
      <c r="E1957" s="20"/>
    </row>
    <row r="1958" spans="1:5">
      <c r="A1958" s="17">
        <v>34</v>
      </c>
      <c r="B1958" s="18" t="s">
        <v>202</v>
      </c>
      <c r="C1958" s="19">
        <v>20903199000297</v>
      </c>
      <c r="D1958" s="22">
        <f>755260/1000</f>
        <v>755.26</v>
      </c>
      <c r="E1958" s="20"/>
    </row>
    <row r="1959" spans="1:5">
      <c r="A1959" s="17">
        <v>35</v>
      </c>
      <c r="B1959" s="18" t="s">
        <v>204</v>
      </c>
      <c r="C1959" s="19">
        <v>21205198000759</v>
      </c>
      <c r="D1959" s="22">
        <f>739099.82/1000</f>
        <v>739.09981999999991</v>
      </c>
      <c r="E1959" s="20"/>
    </row>
    <row r="1960" spans="1:5">
      <c r="A1960" s="17">
        <v>36</v>
      </c>
      <c r="B1960" s="18" t="s">
        <v>201</v>
      </c>
      <c r="C1960" s="19">
        <v>20610195700325</v>
      </c>
      <c r="D1960" s="22">
        <f>720000/1000</f>
        <v>720</v>
      </c>
      <c r="E1960" s="20"/>
    </row>
    <row r="1961" spans="1:5">
      <c r="A1961" s="17">
        <v>37</v>
      </c>
      <c r="B1961" s="18" t="s">
        <v>209</v>
      </c>
      <c r="C1961" s="19">
        <v>22604198401469</v>
      </c>
      <c r="D1961" s="22">
        <f>706370/1000</f>
        <v>706.37</v>
      </c>
      <c r="E1961" s="20"/>
    </row>
    <row r="1962" spans="1:5">
      <c r="A1962" s="17">
        <v>38</v>
      </c>
      <c r="B1962" s="18" t="s">
        <v>203</v>
      </c>
      <c r="C1962" s="19">
        <v>21103197100103</v>
      </c>
      <c r="D1962" s="22">
        <f>681281.98/1000</f>
        <v>681.28197999999998</v>
      </c>
      <c r="E1962" s="20"/>
    </row>
    <row r="1963" spans="1:5">
      <c r="A1963" s="17">
        <v>39</v>
      </c>
      <c r="B1963" s="18" t="s">
        <v>199</v>
      </c>
      <c r="C1963" s="19">
        <v>20511198800052</v>
      </c>
      <c r="D1963" s="22">
        <f>665174/1000</f>
        <v>665.17399999999998</v>
      </c>
      <c r="E1963" s="20"/>
    </row>
    <row r="1964" spans="1:5">
      <c r="A1964" s="17">
        <v>40</v>
      </c>
      <c r="B1964" s="18" t="s">
        <v>1297</v>
      </c>
      <c r="C1964" s="19">
        <v>606201710243</v>
      </c>
      <c r="D1964" s="22">
        <f>638400/1000</f>
        <v>638.4</v>
      </c>
      <c r="E1964" s="20"/>
    </row>
    <row r="1965" spans="1:5">
      <c r="A1965" s="17">
        <v>41</v>
      </c>
      <c r="B1965" s="18" t="s">
        <v>1299</v>
      </c>
      <c r="C1965" s="19">
        <v>21304197300487</v>
      </c>
      <c r="D1965" s="22">
        <f>634566.96/1000</f>
        <v>634.56695999999999</v>
      </c>
      <c r="E1965" s="20"/>
    </row>
    <row r="1966" spans="1:5">
      <c r="A1966" s="17">
        <v>42</v>
      </c>
      <c r="B1966" s="18" t="s">
        <v>1298</v>
      </c>
      <c r="C1966" s="19">
        <v>21805197100958</v>
      </c>
      <c r="D1966" s="22">
        <f>611000/1000</f>
        <v>611</v>
      </c>
      <c r="E1966" s="20"/>
    </row>
    <row r="1967" spans="1:5">
      <c r="A1967" s="17">
        <v>43</v>
      </c>
      <c r="B1967" s="18" t="s">
        <v>3260</v>
      </c>
      <c r="C1967" s="19">
        <v>20304197000669</v>
      </c>
      <c r="D1967" s="22">
        <f>591510.58/1000</f>
        <v>591.51058</v>
      </c>
      <c r="E1967" s="20"/>
    </row>
    <row r="1968" spans="1:5">
      <c r="A1968" s="17">
        <v>44</v>
      </c>
      <c r="B1968" s="18" t="s">
        <v>1300</v>
      </c>
      <c r="C1968" s="19">
        <v>309201510331</v>
      </c>
      <c r="D1968" s="22">
        <f>567954/1000</f>
        <v>567.95399999999995</v>
      </c>
      <c r="E1968" s="20"/>
    </row>
    <row r="1969" spans="1:5">
      <c r="A1969" s="17">
        <v>45</v>
      </c>
      <c r="B1969" s="18" t="s">
        <v>1301</v>
      </c>
      <c r="C1969" s="19">
        <v>311199910077</v>
      </c>
      <c r="D1969" s="22">
        <f>541988.68/1000</f>
        <v>541.98868000000004</v>
      </c>
      <c r="E1969" s="20"/>
    </row>
    <row r="1970" spans="1:5">
      <c r="A1970" s="17">
        <v>46</v>
      </c>
      <c r="B1970" s="18" t="s">
        <v>1302</v>
      </c>
      <c r="C1970" s="19">
        <v>20106198801398</v>
      </c>
      <c r="D1970" s="22">
        <f>552220.98/1000</f>
        <v>552.22097999999994</v>
      </c>
      <c r="E1970" s="20"/>
    </row>
    <row r="1971" spans="1:5">
      <c r="A1971" s="17">
        <v>47</v>
      </c>
      <c r="B1971" s="18" t="s">
        <v>1910</v>
      </c>
      <c r="C1971" s="19" t="s">
        <v>1778</v>
      </c>
      <c r="D1971" s="22"/>
      <c r="E1971" s="20">
        <v>6190.3087100000002</v>
      </c>
    </row>
    <row r="1972" spans="1:5">
      <c r="A1972" s="17">
        <v>48</v>
      </c>
      <c r="B1972" s="18" t="s">
        <v>3265</v>
      </c>
      <c r="C1972" s="19" t="s">
        <v>3264</v>
      </c>
      <c r="D1972" s="22"/>
      <c r="E1972" s="20">
        <v>998.47715999999991</v>
      </c>
    </row>
    <row r="1973" spans="1:5">
      <c r="A1973" s="17">
        <v>49</v>
      </c>
      <c r="B1973" s="18" t="s">
        <v>1783</v>
      </c>
      <c r="C1973" s="19" t="s">
        <v>1780</v>
      </c>
      <c r="D1973" s="22"/>
      <c r="E1973" s="20">
        <v>873.79509999999993</v>
      </c>
    </row>
    <row r="1974" spans="1:5">
      <c r="A1974" s="17">
        <v>50</v>
      </c>
      <c r="B1974" s="18" t="s">
        <v>1863</v>
      </c>
      <c r="C1974" s="19" t="s">
        <v>1781</v>
      </c>
      <c r="D1974" s="22"/>
      <c r="E1974" s="20">
        <v>815.32503999999994</v>
      </c>
    </row>
    <row r="1975" spans="1:5">
      <c r="A1975" s="17">
        <v>51</v>
      </c>
      <c r="B1975" s="18" t="s">
        <v>3266</v>
      </c>
      <c r="C1975" s="19" t="s">
        <v>1782</v>
      </c>
      <c r="D1975" s="22"/>
      <c r="E1975" s="20">
        <v>781.20636000000013</v>
      </c>
    </row>
    <row r="1976" spans="1:5">
      <c r="A1976" s="17">
        <v>52</v>
      </c>
      <c r="B1976" s="18" t="s">
        <v>1911</v>
      </c>
      <c r="C1976" s="19" t="s">
        <v>1779</v>
      </c>
      <c r="D1976" s="22"/>
      <c r="E1976" s="20">
        <v>779.1388199999999</v>
      </c>
    </row>
    <row r="1977" spans="1:5">
      <c r="A1977" s="17"/>
      <c r="B1977" s="25" t="s">
        <v>2</v>
      </c>
      <c r="C1977" s="34" t="s">
        <v>4</v>
      </c>
      <c r="D1977" s="35">
        <f>SUM(D1925:D1976)</f>
        <v>126641.78499999997</v>
      </c>
      <c r="E1977" s="35">
        <f>SUM(E1925:E1976)</f>
        <v>12843.851189999999</v>
      </c>
    </row>
    <row r="1978" spans="1:5">
      <c r="A1978" s="4" t="s">
        <v>30</v>
      </c>
      <c r="B1978" s="4"/>
      <c r="C1978" s="4"/>
      <c r="D1978" s="4"/>
      <c r="E1978" s="4"/>
    </row>
    <row r="1979" spans="1:5">
      <c r="A1979" s="38">
        <v>1</v>
      </c>
      <c r="B1979" s="18" t="s">
        <v>771</v>
      </c>
      <c r="C1979" s="39">
        <v>208200210093</v>
      </c>
      <c r="D1979" s="20">
        <f>103353005.94/1000</f>
        <v>103353.00594</v>
      </c>
      <c r="E1979" s="20"/>
    </row>
    <row r="1980" spans="1:5">
      <c r="A1980" s="38">
        <v>2</v>
      </c>
      <c r="B1980" s="18" t="s">
        <v>908</v>
      </c>
      <c r="C1980" s="39">
        <v>2101202210071</v>
      </c>
      <c r="D1980" s="20">
        <f>16780009.82/1000</f>
        <v>16780.009819999999</v>
      </c>
      <c r="E1980" s="20"/>
    </row>
    <row r="1981" spans="1:5">
      <c r="A1981" s="38">
        <v>3</v>
      </c>
      <c r="B1981" s="18" t="s">
        <v>657</v>
      </c>
      <c r="C1981" s="39">
        <v>20101199102079</v>
      </c>
      <c r="D1981" s="20">
        <f>12783358/1000</f>
        <v>12783.358</v>
      </c>
      <c r="E1981" s="20"/>
    </row>
    <row r="1982" spans="1:5">
      <c r="A1982" s="38">
        <v>4</v>
      </c>
      <c r="B1982" s="18" t="s">
        <v>1334</v>
      </c>
      <c r="C1982" s="39">
        <v>20212197501066</v>
      </c>
      <c r="D1982" s="20">
        <f>11975644.69/1000</f>
        <v>11975.644689999999</v>
      </c>
      <c r="E1982" s="20"/>
    </row>
    <row r="1983" spans="1:5">
      <c r="A1983" s="38">
        <v>5</v>
      </c>
      <c r="B1983" s="18" t="s">
        <v>1333</v>
      </c>
      <c r="C1983" s="39">
        <v>710201310107</v>
      </c>
      <c r="D1983" s="20">
        <f>11298261.94/1000</f>
        <v>11298.26194</v>
      </c>
      <c r="E1983" s="20"/>
    </row>
    <row r="1984" spans="1:5">
      <c r="A1984" s="38">
        <v>6</v>
      </c>
      <c r="B1984" s="18" t="s">
        <v>770</v>
      </c>
      <c r="C1984" s="39">
        <v>1408200810020</v>
      </c>
      <c r="D1984" s="20">
        <f>5709133.1/1000</f>
        <v>5709.1331</v>
      </c>
      <c r="E1984" s="20"/>
    </row>
    <row r="1985" spans="1:5">
      <c r="A1985" s="38">
        <v>7</v>
      </c>
      <c r="B1985" s="18" t="s">
        <v>792</v>
      </c>
      <c r="C1985" s="39">
        <v>12102196500445</v>
      </c>
      <c r="D1985" s="20">
        <f>4945407/1000</f>
        <v>4945.4070000000002</v>
      </c>
      <c r="E1985" s="20"/>
    </row>
    <row r="1986" spans="1:5">
      <c r="A1986" s="38">
        <v>8</v>
      </c>
      <c r="B1986" s="18" t="s">
        <v>226</v>
      </c>
      <c r="C1986" s="39">
        <v>22207197600524</v>
      </c>
      <c r="D1986" s="20">
        <f>3714352/1000</f>
        <v>3714.3519999999999</v>
      </c>
      <c r="E1986" s="20"/>
    </row>
    <row r="1987" spans="1:5">
      <c r="A1987" s="38">
        <v>9</v>
      </c>
      <c r="B1987" s="18" t="s">
        <v>1913</v>
      </c>
      <c r="C1987" s="39">
        <v>209200410066</v>
      </c>
      <c r="D1987" s="20">
        <f>3308382/1000</f>
        <v>3308.3820000000001</v>
      </c>
      <c r="E1987" s="20"/>
    </row>
    <row r="1988" spans="1:5">
      <c r="A1988" s="38">
        <v>10</v>
      </c>
      <c r="B1988" s="18" t="s">
        <v>556</v>
      </c>
      <c r="C1988" s="39">
        <v>20101197102620</v>
      </c>
      <c r="D1988" s="20">
        <f>1969685/1000</f>
        <v>1969.6849999999999</v>
      </c>
      <c r="E1988" s="20"/>
    </row>
    <row r="1989" spans="1:5">
      <c r="A1989" s="38">
        <v>11</v>
      </c>
      <c r="B1989" s="18" t="s">
        <v>1914</v>
      </c>
      <c r="C1989" s="39">
        <v>1110200610051</v>
      </c>
      <c r="D1989" s="20">
        <f>1218994/1000</f>
        <v>1218.9939999999999</v>
      </c>
      <c r="E1989" s="20"/>
    </row>
    <row r="1990" spans="1:5">
      <c r="A1990" s="38">
        <v>12</v>
      </c>
      <c r="B1990" s="18" t="s">
        <v>227</v>
      </c>
      <c r="C1990" s="39">
        <v>21301199601280</v>
      </c>
      <c r="D1990" s="20">
        <f>1143234.26/1000</f>
        <v>1143.2342599999999</v>
      </c>
      <c r="E1990" s="20"/>
    </row>
    <row r="1991" spans="1:5">
      <c r="A1991" s="38">
        <v>13</v>
      </c>
      <c r="B1991" s="18" t="s">
        <v>225</v>
      </c>
      <c r="C1991" s="39">
        <v>21105196900706</v>
      </c>
      <c r="D1991" s="20">
        <f>1142650/1000</f>
        <v>1142.6500000000001</v>
      </c>
      <c r="E1991" s="20"/>
    </row>
    <row r="1992" spans="1:5">
      <c r="A1992" s="38">
        <v>14</v>
      </c>
      <c r="B1992" s="18" t="s">
        <v>1998</v>
      </c>
      <c r="C1992" s="39">
        <v>10109198101206</v>
      </c>
      <c r="D1992" s="20">
        <f>935089.62/1000</f>
        <v>935.08961999999997</v>
      </c>
      <c r="E1992" s="20"/>
    </row>
    <row r="1993" spans="1:5">
      <c r="A1993" s="38">
        <v>15</v>
      </c>
      <c r="B1993" s="18" t="s">
        <v>1999</v>
      </c>
      <c r="C1993" s="39">
        <v>20504198501027</v>
      </c>
      <c r="D1993" s="20">
        <f>704769.12/1000</f>
        <v>704.76912000000004</v>
      </c>
      <c r="E1993" s="20"/>
    </row>
    <row r="1994" spans="1:5">
      <c r="A1994" s="38">
        <v>16</v>
      </c>
      <c r="B1994" s="18" t="s">
        <v>705</v>
      </c>
      <c r="C1994" s="39">
        <v>709200910073</v>
      </c>
      <c r="D1994" s="20">
        <f>606483.97/1000</f>
        <v>606.48397</v>
      </c>
      <c r="E1994" s="20"/>
    </row>
    <row r="1995" spans="1:5">
      <c r="A1995" s="38">
        <v>17</v>
      </c>
      <c r="B1995" s="18" t="s">
        <v>1912</v>
      </c>
      <c r="C1995" s="39">
        <v>22601199000624</v>
      </c>
      <c r="D1995" s="20">
        <f>562875/1000</f>
        <v>562.875</v>
      </c>
      <c r="E1995" s="20"/>
    </row>
    <row r="1996" spans="1:5">
      <c r="A1996" s="38">
        <v>18</v>
      </c>
      <c r="B1996" s="18" t="s">
        <v>1335</v>
      </c>
      <c r="C1996" s="39">
        <v>20601197510015</v>
      </c>
      <c r="D1996" s="20">
        <f>523861/1000</f>
        <v>523.86099999999999</v>
      </c>
      <c r="E1996" s="20"/>
    </row>
    <row r="1997" spans="1:5">
      <c r="A1997" s="38">
        <v>19</v>
      </c>
      <c r="B1997" s="18" t="s">
        <v>1864</v>
      </c>
      <c r="C1997" s="39" t="s">
        <v>1646</v>
      </c>
      <c r="D1997" s="20"/>
      <c r="E1997" s="20">
        <v>21622.330149999998</v>
      </c>
    </row>
    <row r="1998" spans="1:5">
      <c r="A1998" s="38">
        <v>20</v>
      </c>
      <c r="B1998" s="18" t="s">
        <v>1650</v>
      </c>
      <c r="C1998" s="39" t="s">
        <v>1645</v>
      </c>
      <c r="D1998" s="20"/>
      <c r="E1998" s="20">
        <v>12382.6567</v>
      </c>
    </row>
    <row r="1999" spans="1:5">
      <c r="A1999" s="38">
        <v>21</v>
      </c>
      <c r="B1999" s="18" t="s">
        <v>772</v>
      </c>
      <c r="C1999" s="39" t="s">
        <v>1647</v>
      </c>
      <c r="D1999" s="20"/>
      <c r="E1999" s="20">
        <v>2729.3139500000002</v>
      </c>
    </row>
    <row r="2000" spans="1:5">
      <c r="A2000" s="38">
        <v>22</v>
      </c>
      <c r="B2000" s="18" t="s">
        <v>3268</v>
      </c>
      <c r="C2000" s="39" t="s">
        <v>1648</v>
      </c>
      <c r="D2000" s="20"/>
      <c r="E2000" s="20">
        <v>2397.5355399999999</v>
      </c>
    </row>
    <row r="2001" spans="1:5">
      <c r="A2001" s="38">
        <v>23</v>
      </c>
      <c r="B2001" s="18" t="s">
        <v>1915</v>
      </c>
      <c r="C2001" s="39" t="s">
        <v>1649</v>
      </c>
      <c r="D2001" s="20"/>
      <c r="E2001" s="20">
        <v>829.55670999999995</v>
      </c>
    </row>
    <row r="2002" spans="1:5">
      <c r="A2002" s="38">
        <v>24</v>
      </c>
      <c r="B2002" s="18" t="s">
        <v>3269</v>
      </c>
      <c r="C2002" s="39" t="s">
        <v>3267</v>
      </c>
      <c r="D2002" s="20"/>
      <c r="E2002" s="20">
        <v>506.99401999999998</v>
      </c>
    </row>
    <row r="2003" spans="1:5">
      <c r="A2003" s="17"/>
      <c r="B2003" s="25" t="s">
        <v>2</v>
      </c>
      <c r="C2003" s="34" t="s">
        <v>4</v>
      </c>
      <c r="D2003" s="35">
        <f>SUM(D1979:D2002)</f>
        <v>182675.19646000006</v>
      </c>
      <c r="E2003" s="35">
        <f>SUM(E1979:E2002)</f>
        <v>40468.387069999997</v>
      </c>
    </row>
    <row r="2004" spans="1:5">
      <c r="A2004" s="4" t="s">
        <v>6</v>
      </c>
      <c r="B2004" s="4"/>
      <c r="C2004" s="4"/>
      <c r="D2004" s="4"/>
      <c r="E2004" s="4"/>
    </row>
    <row r="2005" spans="1:5">
      <c r="A2005" s="34" t="s">
        <v>3</v>
      </c>
      <c r="B2005" s="18" t="s">
        <v>62</v>
      </c>
      <c r="C2005" s="21">
        <v>22307198201039</v>
      </c>
      <c r="D2005" s="22">
        <f>4184946.8/1000</f>
        <v>4184.9467999999997</v>
      </c>
      <c r="E2005" s="20"/>
    </row>
    <row r="2006" spans="1:5">
      <c r="A2006" s="34" t="s">
        <v>10</v>
      </c>
      <c r="B2006" s="18" t="s">
        <v>1786</v>
      </c>
      <c r="C2006" s="21" t="s">
        <v>1605</v>
      </c>
      <c r="D2006" s="22"/>
      <c r="E2006" s="20">
        <v>2491.1</v>
      </c>
    </row>
    <row r="2007" spans="1:5">
      <c r="A2007" s="34"/>
      <c r="B2007" s="25" t="s">
        <v>2</v>
      </c>
      <c r="C2007" s="34"/>
      <c r="D2007" s="35">
        <f>SUM(D2005:D2006)</f>
        <v>4184.9467999999997</v>
      </c>
      <c r="E2007" s="35">
        <f>SUM(E2005:E2006)</f>
        <v>2491.1</v>
      </c>
    </row>
    <row r="2008" spans="1:5" s="16" customFormat="1">
      <c r="A2008" s="4" t="s">
        <v>8</v>
      </c>
      <c r="B2008" s="4"/>
      <c r="C2008" s="4"/>
      <c r="D2008" s="4"/>
      <c r="E2008" s="4"/>
    </row>
    <row r="2009" spans="1:5">
      <c r="A2009" s="17">
        <v>1</v>
      </c>
      <c r="B2009" s="18" t="s">
        <v>72</v>
      </c>
      <c r="C2009" s="19">
        <v>20410199201822</v>
      </c>
      <c r="D2009" s="20">
        <f>19402332/1000</f>
        <v>19402.331999999999</v>
      </c>
      <c r="E2009" s="20"/>
    </row>
    <row r="2010" spans="1:5">
      <c r="A2010" s="17">
        <v>2</v>
      </c>
      <c r="B2010" s="18" t="s">
        <v>1786</v>
      </c>
      <c r="C2010" s="19" t="s">
        <v>1605</v>
      </c>
      <c r="D2010" s="20"/>
      <c r="E2010" s="20">
        <v>2247.1999999999998</v>
      </c>
    </row>
    <row r="2011" spans="1:5" s="16" customFormat="1">
      <c r="A2011" s="17"/>
      <c r="B2011" s="25" t="s">
        <v>2</v>
      </c>
      <c r="C2011" s="27"/>
      <c r="D2011" s="35">
        <f>SUM(D2009:D2010)</f>
        <v>19402.331999999999</v>
      </c>
      <c r="E2011" s="35">
        <f>SUM(E2009:E2010)</f>
        <v>2247.1999999999998</v>
      </c>
    </row>
    <row r="2012" spans="1:5" s="16" customFormat="1">
      <c r="A2012" s="4" t="s">
        <v>19</v>
      </c>
      <c r="B2012" s="4"/>
      <c r="C2012" s="4"/>
      <c r="D2012" s="4"/>
      <c r="E2012" s="4"/>
    </row>
    <row r="2013" spans="1:5" s="16" customFormat="1">
      <c r="A2013" s="17">
        <v>1</v>
      </c>
      <c r="B2013" s="18" t="s">
        <v>1846</v>
      </c>
      <c r="C2013" s="19" t="s">
        <v>2026</v>
      </c>
      <c r="D2013" s="20">
        <f>32181013.3/1000</f>
        <v>32181.013300000002</v>
      </c>
      <c r="E2013" s="20"/>
    </row>
    <row r="2014" spans="1:5" s="16" customFormat="1">
      <c r="A2014" s="17">
        <v>2</v>
      </c>
      <c r="B2014" s="18" t="s">
        <v>1643</v>
      </c>
      <c r="C2014" s="19" t="s">
        <v>1637</v>
      </c>
      <c r="D2014" s="20">
        <f>23542124.31/1000</f>
        <v>23542.124309999999</v>
      </c>
      <c r="E2014" s="20">
        <v>1165.4000000000001</v>
      </c>
    </row>
    <row r="2015" spans="1:5" s="16" customFormat="1">
      <c r="A2015" s="17">
        <v>3</v>
      </c>
      <c r="B2015" s="18" t="s">
        <v>925</v>
      </c>
      <c r="C2015" s="19" t="s">
        <v>2027</v>
      </c>
      <c r="D2015" s="20">
        <f>5852515.92/1000</f>
        <v>5852.5159199999998</v>
      </c>
      <c r="E2015" s="20"/>
    </row>
    <row r="2016" spans="1:5" s="16" customFormat="1">
      <c r="A2016" s="17">
        <v>4</v>
      </c>
      <c r="B2016" s="18" t="s">
        <v>909</v>
      </c>
      <c r="C2016" s="19" t="s">
        <v>2028</v>
      </c>
      <c r="D2016" s="20">
        <f>3358181.45/1000</f>
        <v>3358.18145</v>
      </c>
      <c r="E2016" s="20">
        <v>3440.9</v>
      </c>
    </row>
    <row r="2017" spans="1:5" s="16" customFormat="1">
      <c r="A2017" s="17">
        <v>5</v>
      </c>
      <c r="B2017" s="18" t="s">
        <v>706</v>
      </c>
      <c r="C2017" s="19" t="s">
        <v>2031</v>
      </c>
      <c r="D2017" s="20">
        <f>2314632.38/1000</f>
        <v>2314.63238</v>
      </c>
      <c r="E2017" s="20">
        <v>699.8</v>
      </c>
    </row>
    <row r="2018" spans="1:5" s="16" customFormat="1">
      <c r="A2018" s="17">
        <v>6</v>
      </c>
      <c r="B2018" s="18" t="s">
        <v>1442</v>
      </c>
      <c r="C2018" s="19" t="s">
        <v>2029</v>
      </c>
      <c r="D2018" s="20">
        <f>2239147.15/1000</f>
        <v>2239.1471499999998</v>
      </c>
      <c r="E2018" s="20">
        <v>1839.2</v>
      </c>
    </row>
    <row r="2019" spans="1:5" s="16" customFormat="1">
      <c r="A2019" s="17">
        <v>7</v>
      </c>
      <c r="B2019" s="18" t="s">
        <v>1445</v>
      </c>
      <c r="C2019" s="19" t="s">
        <v>2030</v>
      </c>
      <c r="D2019" s="20">
        <f>2038709.49/1000</f>
        <v>2038.70949</v>
      </c>
      <c r="E2019" s="20"/>
    </row>
    <row r="2020" spans="1:5" s="16" customFormat="1">
      <c r="A2020" s="17">
        <v>8</v>
      </c>
      <c r="B2020" s="18" t="s">
        <v>1784</v>
      </c>
      <c r="C2020" s="19" t="s">
        <v>2033</v>
      </c>
      <c r="D2020" s="20">
        <f>848358.16/1000</f>
        <v>848.35816</v>
      </c>
      <c r="E2020" s="20"/>
    </row>
    <row r="2021" spans="1:5" s="16" customFormat="1">
      <c r="A2021" s="17">
        <v>9</v>
      </c>
      <c r="B2021" s="18" t="s">
        <v>1446</v>
      </c>
      <c r="C2021" s="19" t="s">
        <v>2034</v>
      </c>
      <c r="D2021" s="20">
        <f>790463.84/1000</f>
        <v>790.46384</v>
      </c>
      <c r="E2021" s="20">
        <v>677.1</v>
      </c>
    </row>
    <row r="2022" spans="1:5" s="16" customFormat="1">
      <c r="A2022" s="17">
        <v>10</v>
      </c>
      <c r="B2022" s="18" t="s">
        <v>1443</v>
      </c>
      <c r="C2022" s="19">
        <v>11609196800425</v>
      </c>
      <c r="D2022" s="20">
        <f>729579.83/1000</f>
        <v>729.5798299999999</v>
      </c>
      <c r="E2022" s="20"/>
    </row>
    <row r="2023" spans="1:5" s="16" customFormat="1">
      <c r="A2023" s="17">
        <v>11</v>
      </c>
      <c r="B2023" s="18" t="s">
        <v>1444</v>
      </c>
      <c r="C2023" s="19" t="s">
        <v>2032</v>
      </c>
      <c r="D2023" s="20">
        <f>715857.38/1000</f>
        <v>715.85738000000003</v>
      </c>
      <c r="E2023" s="20">
        <v>957.4</v>
      </c>
    </row>
    <row r="2024" spans="1:5" s="16" customFormat="1">
      <c r="A2024" s="17">
        <v>12</v>
      </c>
      <c r="B2024" s="18" t="s">
        <v>218</v>
      </c>
      <c r="C2024" s="19" t="s">
        <v>2035</v>
      </c>
      <c r="D2024" s="20">
        <f>664899.57/1000</f>
        <v>664.89956999999993</v>
      </c>
      <c r="E2024" s="20"/>
    </row>
    <row r="2025" spans="1:5" s="16" customFormat="1">
      <c r="A2025" s="17">
        <v>13</v>
      </c>
      <c r="B2025" s="18" t="s">
        <v>2489</v>
      </c>
      <c r="C2025" s="19" t="s">
        <v>2488</v>
      </c>
      <c r="D2025" s="20">
        <f>554745.01/1000</f>
        <v>554.74500999999998</v>
      </c>
      <c r="E2025" s="20"/>
    </row>
    <row r="2026" spans="1:5" s="16" customFormat="1">
      <c r="A2026" s="17">
        <v>14</v>
      </c>
      <c r="B2026" s="18" t="s">
        <v>1785</v>
      </c>
      <c r="C2026" s="19" t="s">
        <v>1635</v>
      </c>
      <c r="D2026" s="20"/>
      <c r="E2026" s="20">
        <v>32547.761780000001</v>
      </c>
    </row>
    <row r="2027" spans="1:5" s="16" customFormat="1">
      <c r="A2027" s="17">
        <v>15</v>
      </c>
      <c r="B2027" s="18" t="s">
        <v>2491</v>
      </c>
      <c r="C2027" s="19" t="s">
        <v>1880</v>
      </c>
      <c r="D2027" s="20"/>
      <c r="E2027" s="20">
        <v>3642.8882400000002</v>
      </c>
    </row>
    <row r="2028" spans="1:5" s="16" customFormat="1">
      <c r="A2028" s="17">
        <v>16</v>
      </c>
      <c r="B2028" s="18" t="s">
        <v>773</v>
      </c>
      <c r="C2028" s="19" t="s">
        <v>1881</v>
      </c>
      <c r="D2028" s="20"/>
      <c r="E2028" s="20">
        <v>2184.5900799999999</v>
      </c>
    </row>
    <row r="2029" spans="1:5" s="16" customFormat="1">
      <c r="A2029" s="17">
        <v>17</v>
      </c>
      <c r="B2029" s="18" t="s">
        <v>1786</v>
      </c>
      <c r="C2029" s="19" t="s">
        <v>1605</v>
      </c>
      <c r="D2029" s="20"/>
      <c r="E2029" s="20">
        <v>1760.7214799999999</v>
      </c>
    </row>
    <row r="2030" spans="1:5" s="16" customFormat="1" ht="31.5">
      <c r="A2030" s="17">
        <v>18</v>
      </c>
      <c r="B2030" s="18" t="s">
        <v>1865</v>
      </c>
      <c r="C2030" s="19" t="s">
        <v>1639</v>
      </c>
      <c r="D2030" s="20"/>
      <c r="E2030" s="20">
        <v>1075.88669</v>
      </c>
    </row>
    <row r="2031" spans="1:5" s="16" customFormat="1">
      <c r="A2031" s="17">
        <v>19</v>
      </c>
      <c r="B2031" s="18" t="s">
        <v>1866</v>
      </c>
      <c r="C2031" s="19" t="s">
        <v>1638</v>
      </c>
      <c r="D2031" s="20"/>
      <c r="E2031" s="20">
        <v>1047.1235300000001</v>
      </c>
    </row>
    <row r="2032" spans="1:5" s="16" customFormat="1">
      <c r="A2032" s="17">
        <v>20</v>
      </c>
      <c r="B2032" s="18" t="s">
        <v>2490</v>
      </c>
      <c r="C2032" s="19" t="s">
        <v>1640</v>
      </c>
      <c r="D2032" s="20"/>
      <c r="E2032" s="20">
        <v>791.68269999999995</v>
      </c>
    </row>
    <row r="2033" spans="1:5" s="16" customFormat="1">
      <c r="A2033" s="17">
        <v>21</v>
      </c>
      <c r="B2033" s="18" t="s">
        <v>1642</v>
      </c>
      <c r="C2033" s="19" t="s">
        <v>1636</v>
      </c>
      <c r="D2033" s="20"/>
      <c r="E2033" s="20">
        <v>733.16955000000007</v>
      </c>
    </row>
    <row r="2034" spans="1:5" s="16" customFormat="1">
      <c r="A2034" s="17">
        <v>22</v>
      </c>
      <c r="B2034" s="18" t="s">
        <v>1644</v>
      </c>
      <c r="C2034" s="19" t="s">
        <v>1641</v>
      </c>
      <c r="D2034" s="20"/>
      <c r="E2034" s="20">
        <v>527.56680000000006</v>
      </c>
    </row>
    <row r="2035" spans="1:5" s="16" customFormat="1">
      <c r="A2035" s="17"/>
      <c r="B2035" s="25" t="s">
        <v>2</v>
      </c>
      <c r="C2035" s="27"/>
      <c r="D2035" s="35">
        <f>SUM(D2013:D2034)</f>
        <v>75830.22778999999</v>
      </c>
      <c r="E2035" s="35">
        <f>SUM(E2013:E2034)</f>
        <v>53091.190849999999</v>
      </c>
    </row>
    <row r="2036" spans="1:5">
      <c r="A2036" s="4" t="s">
        <v>11</v>
      </c>
      <c r="B2036" s="4"/>
      <c r="C2036" s="4"/>
      <c r="D2036" s="4"/>
      <c r="E2036" s="4"/>
    </row>
    <row r="2037" spans="1:5">
      <c r="A2037" s="17">
        <v>1</v>
      </c>
      <c r="B2037" s="18" t="s">
        <v>2493</v>
      </c>
      <c r="C2037" s="19" t="s">
        <v>2021</v>
      </c>
      <c r="D2037" s="20">
        <f>13284637.89/1000</f>
        <v>13284.63789</v>
      </c>
      <c r="E2037" s="20"/>
    </row>
    <row r="2038" spans="1:5">
      <c r="A2038" s="17">
        <v>2</v>
      </c>
      <c r="B2038" s="18" t="s">
        <v>1447</v>
      </c>
      <c r="C2038" s="19" t="s">
        <v>2022</v>
      </c>
      <c r="D2038" s="20">
        <f>2743481.35/1000</f>
        <v>2743.48135</v>
      </c>
      <c r="E2038" s="20"/>
    </row>
    <row r="2039" spans="1:5">
      <c r="A2039" s="17">
        <v>3</v>
      </c>
      <c r="B2039" s="18" t="s">
        <v>2025</v>
      </c>
      <c r="C2039" s="19" t="s">
        <v>2023</v>
      </c>
      <c r="D2039" s="20">
        <f>670766.1/1000</f>
        <v>670.76609999999994</v>
      </c>
      <c r="E2039" s="20"/>
    </row>
    <row r="2040" spans="1:5">
      <c r="A2040" s="17">
        <v>4</v>
      </c>
      <c r="B2040" s="18" t="s">
        <v>932</v>
      </c>
      <c r="C2040" s="19" t="s">
        <v>2024</v>
      </c>
      <c r="D2040" s="20">
        <f>557886.4/1000</f>
        <v>557.88639999999998</v>
      </c>
      <c r="E2040" s="20"/>
    </row>
    <row r="2041" spans="1:5">
      <c r="A2041" s="17">
        <v>5</v>
      </c>
      <c r="B2041" s="18" t="s">
        <v>2494</v>
      </c>
      <c r="C2041" s="19" t="s">
        <v>2492</v>
      </c>
      <c r="D2041" s="20">
        <f>543495.3/1000</f>
        <v>543.49530000000004</v>
      </c>
      <c r="E2041" s="20"/>
    </row>
    <row r="2042" spans="1:5">
      <c r="A2042" s="17">
        <v>6</v>
      </c>
      <c r="B2042" s="18" t="s">
        <v>1786</v>
      </c>
      <c r="C2042" s="19" t="s">
        <v>1605</v>
      </c>
      <c r="D2042" s="20"/>
      <c r="E2042" s="20">
        <v>1722.43325</v>
      </c>
    </row>
    <row r="2043" spans="1:5">
      <c r="A2043" s="17">
        <v>7</v>
      </c>
      <c r="B2043" s="18" t="s">
        <v>2496</v>
      </c>
      <c r="C2043" s="19" t="s">
        <v>2495</v>
      </c>
      <c r="D2043" s="20"/>
      <c r="E2043" s="20">
        <v>1431.1421099999998</v>
      </c>
    </row>
    <row r="2044" spans="1:5" s="16" customFormat="1">
      <c r="A2044" s="17"/>
      <c r="B2044" s="25" t="s">
        <v>2</v>
      </c>
      <c r="C2044" s="27"/>
      <c r="D2044" s="35">
        <f>SUM(D2037:D2043)</f>
        <v>17800.267039999999</v>
      </c>
      <c r="E2044" s="35">
        <f>SUM(E2037:E2043)</f>
        <v>3153.5753599999998</v>
      </c>
    </row>
    <row r="2045" spans="1:5" s="16" customFormat="1">
      <c r="A2045" s="5" t="s">
        <v>964</v>
      </c>
      <c r="B2045" s="6"/>
      <c r="C2045" s="6"/>
      <c r="D2045" s="6"/>
      <c r="E2045" s="7"/>
    </row>
    <row r="2046" spans="1:5">
      <c r="A2046" s="17">
        <v>1</v>
      </c>
      <c r="B2046" s="18" t="s">
        <v>2019</v>
      </c>
      <c r="C2046" s="19" t="s">
        <v>2017</v>
      </c>
      <c r="D2046" s="20">
        <f>414504765.62/1000</f>
        <v>414504.76562000002</v>
      </c>
      <c r="E2046" s="20"/>
    </row>
    <row r="2047" spans="1:5">
      <c r="A2047" s="17">
        <v>2</v>
      </c>
      <c r="B2047" s="18" t="s">
        <v>2498</v>
      </c>
      <c r="C2047" s="19" t="s">
        <v>2497</v>
      </c>
      <c r="D2047" s="20">
        <f>75759777.73/1000</f>
        <v>75759.777730000002</v>
      </c>
      <c r="E2047" s="20"/>
    </row>
    <row r="2048" spans="1:5">
      <c r="A2048" s="17">
        <v>3</v>
      </c>
      <c r="B2048" s="18" t="s">
        <v>2020</v>
      </c>
      <c r="C2048" s="19" t="s">
        <v>2018</v>
      </c>
      <c r="D2048" s="20">
        <f>1075990.77/1000</f>
        <v>1075.9907700000001</v>
      </c>
      <c r="E2048" s="20"/>
    </row>
    <row r="2049" spans="1:5">
      <c r="A2049" s="17">
        <v>4</v>
      </c>
      <c r="B2049" s="18" t="s">
        <v>1786</v>
      </c>
      <c r="C2049" s="19" t="s">
        <v>1605</v>
      </c>
      <c r="D2049" s="20"/>
      <c r="E2049" s="20">
        <v>1638.9</v>
      </c>
    </row>
    <row r="2050" spans="1:5" s="16" customFormat="1">
      <c r="A2050" s="40"/>
      <c r="B2050" s="25" t="s">
        <v>2</v>
      </c>
      <c r="C2050" s="27"/>
      <c r="D2050" s="35">
        <f>SUM(D2046:D2049)</f>
        <v>491340.53412000003</v>
      </c>
      <c r="E2050" s="35">
        <f>SUM(E2046:E2049)</f>
        <v>1638.9</v>
      </c>
    </row>
    <row r="2051" spans="1:5">
      <c r="A2051" s="4" t="s">
        <v>12</v>
      </c>
      <c r="B2051" s="4"/>
      <c r="C2051" s="4"/>
      <c r="D2051" s="4"/>
      <c r="E2051" s="4"/>
    </row>
    <row r="2052" spans="1:5">
      <c r="A2052" s="17">
        <v>1</v>
      </c>
      <c r="B2052" s="18" t="s">
        <v>2499</v>
      </c>
      <c r="C2052" s="19" t="s">
        <v>2012</v>
      </c>
      <c r="D2052" s="20">
        <f>7077002.88/1000</f>
        <v>7077.00288</v>
      </c>
      <c r="E2052" s="20"/>
    </row>
    <row r="2053" spans="1:5">
      <c r="A2053" s="17">
        <v>2</v>
      </c>
      <c r="B2053" s="18" t="s">
        <v>385</v>
      </c>
      <c r="C2053" s="19">
        <v>10512196800439</v>
      </c>
      <c r="D2053" s="20">
        <f>3196744.16/1000</f>
        <v>3196.7441600000002</v>
      </c>
      <c r="E2053" s="20"/>
    </row>
    <row r="2054" spans="1:5">
      <c r="A2054" s="17">
        <v>3</v>
      </c>
      <c r="B2054" s="18" t="s">
        <v>2500</v>
      </c>
      <c r="C2054" s="19" t="s">
        <v>1993</v>
      </c>
      <c r="D2054" s="20">
        <f>1166867.26/1000</f>
        <v>1166.86726</v>
      </c>
      <c r="E2054" s="20"/>
    </row>
    <row r="2055" spans="1:5">
      <c r="A2055" s="17">
        <v>4</v>
      </c>
      <c r="B2055" s="18" t="s">
        <v>2015</v>
      </c>
      <c r="C2055" s="19" t="s">
        <v>1994</v>
      </c>
      <c r="D2055" s="20">
        <f>1037959.52/1000</f>
        <v>1037.9595200000001</v>
      </c>
      <c r="E2055" s="20"/>
    </row>
    <row r="2056" spans="1:5">
      <c r="A2056" s="17">
        <v>5</v>
      </c>
      <c r="B2056" s="18" t="s">
        <v>2014</v>
      </c>
      <c r="C2056" s="19">
        <v>11610198900599</v>
      </c>
      <c r="D2056" s="20">
        <f>899237.13/1000</f>
        <v>899.23712999999998</v>
      </c>
      <c r="E2056" s="20"/>
    </row>
    <row r="2057" spans="1:5">
      <c r="A2057" s="17">
        <v>6</v>
      </c>
      <c r="B2057" s="18" t="s">
        <v>1083</v>
      </c>
      <c r="C2057" s="19" t="s">
        <v>1995</v>
      </c>
      <c r="D2057" s="20">
        <f>788873.09/1000</f>
        <v>788.87308999999993</v>
      </c>
      <c r="E2057" s="20"/>
    </row>
    <row r="2058" spans="1:5">
      <c r="A2058" s="17">
        <v>7</v>
      </c>
      <c r="B2058" s="18" t="s">
        <v>1787</v>
      </c>
      <c r="C2058" s="19" t="s">
        <v>1996</v>
      </c>
      <c r="D2058" s="20">
        <f>677564.02/1000</f>
        <v>677.56402000000003</v>
      </c>
      <c r="E2058" s="20"/>
    </row>
    <row r="2059" spans="1:5">
      <c r="A2059" s="17">
        <v>8</v>
      </c>
      <c r="B2059" s="18" t="s">
        <v>1017</v>
      </c>
      <c r="C2059" s="19" t="s">
        <v>1997</v>
      </c>
      <c r="D2059" s="20">
        <f>517090.55/1000</f>
        <v>517.09055000000001</v>
      </c>
      <c r="E2059" s="20"/>
    </row>
    <row r="2060" spans="1:5">
      <c r="A2060" s="17">
        <v>9</v>
      </c>
      <c r="B2060" s="18" t="s">
        <v>1786</v>
      </c>
      <c r="C2060" s="19" t="s">
        <v>1605</v>
      </c>
      <c r="D2060" s="20"/>
      <c r="E2060" s="20">
        <v>60286.116390000003</v>
      </c>
    </row>
    <row r="2061" spans="1:5">
      <c r="A2061" s="17">
        <v>10</v>
      </c>
      <c r="B2061" s="18" t="s">
        <v>1788</v>
      </c>
      <c r="C2061" s="19" t="s">
        <v>1634</v>
      </c>
      <c r="D2061" s="20"/>
      <c r="E2061" s="20">
        <v>3926.4711500000003</v>
      </c>
    </row>
    <row r="2062" spans="1:5">
      <c r="A2062" s="17">
        <v>11</v>
      </c>
      <c r="B2062" s="18" t="s">
        <v>2016</v>
      </c>
      <c r="C2062" s="19" t="s">
        <v>2013</v>
      </c>
      <c r="D2062" s="20"/>
      <c r="E2062" s="20">
        <v>1619.3543</v>
      </c>
    </row>
    <row r="2063" spans="1:5">
      <c r="A2063" s="17">
        <v>12</v>
      </c>
      <c r="B2063" s="18" t="s">
        <v>2502</v>
      </c>
      <c r="C2063" s="19" t="s">
        <v>2501</v>
      </c>
      <c r="D2063" s="20"/>
      <c r="E2063" s="20">
        <v>621.11826000000008</v>
      </c>
    </row>
    <row r="2064" spans="1:5">
      <c r="A2064" s="17"/>
      <c r="B2064" s="25" t="s">
        <v>2</v>
      </c>
      <c r="C2064" s="34"/>
      <c r="D2064" s="35">
        <f>SUM(D2052:D2063)</f>
        <v>15361.338610000001</v>
      </c>
      <c r="E2064" s="35">
        <f>SUM(E2052:E2063)</f>
        <v>66453.060100000002</v>
      </c>
    </row>
    <row r="2065" spans="1:5">
      <c r="A2065" s="4" t="s">
        <v>31</v>
      </c>
      <c r="B2065" s="4"/>
      <c r="C2065" s="4"/>
      <c r="D2065" s="4"/>
      <c r="E2065" s="4"/>
    </row>
    <row r="2066" spans="1:5">
      <c r="A2066" s="17">
        <v>1</v>
      </c>
      <c r="B2066" s="18" t="s">
        <v>1076</v>
      </c>
      <c r="C2066" s="19">
        <v>1605199510081</v>
      </c>
      <c r="D2066" s="20">
        <f>3735063.88/1000</f>
        <v>3735.0638799999997</v>
      </c>
      <c r="E2066" s="20"/>
    </row>
    <row r="2067" spans="1:5">
      <c r="A2067" s="17">
        <v>2</v>
      </c>
      <c r="B2067" s="18" t="s">
        <v>627</v>
      </c>
      <c r="C2067" s="19">
        <v>606199410045</v>
      </c>
      <c r="D2067" s="20">
        <f>2881108.35/1000</f>
        <v>2881.10835</v>
      </c>
      <c r="E2067" s="20"/>
    </row>
    <row r="2068" spans="1:5">
      <c r="A2068" s="17">
        <v>3</v>
      </c>
      <c r="B2068" s="18" t="s">
        <v>2698</v>
      </c>
      <c r="C2068" s="19">
        <v>1612201610087</v>
      </c>
      <c r="D2068" s="20">
        <f>3000607.03/1000</f>
        <v>3000.6070299999997</v>
      </c>
      <c r="E2068" s="20">
        <v>1178.8</v>
      </c>
    </row>
    <row r="2069" spans="1:5">
      <c r="A2069" s="17">
        <v>4</v>
      </c>
      <c r="B2069" s="18" t="s">
        <v>1927</v>
      </c>
      <c r="C2069" s="19">
        <v>2009201910051</v>
      </c>
      <c r="D2069" s="20">
        <f>2822439.33/1000</f>
        <v>2822.4393300000002</v>
      </c>
      <c r="E2069" s="20"/>
    </row>
    <row r="2070" spans="1:5">
      <c r="A2070" s="17">
        <v>5</v>
      </c>
      <c r="B2070" s="18" t="s">
        <v>1789</v>
      </c>
      <c r="C2070" s="19">
        <v>20305197500526</v>
      </c>
      <c r="D2070" s="20">
        <f>2791846/1000</f>
        <v>2791.846</v>
      </c>
      <c r="E2070" s="20"/>
    </row>
    <row r="2071" spans="1:5">
      <c r="A2071" s="17">
        <v>6</v>
      </c>
      <c r="B2071" s="18" t="s">
        <v>707</v>
      </c>
      <c r="C2071" s="19">
        <v>2309202110019</v>
      </c>
      <c r="D2071" s="20">
        <f>2327893.73/1000</f>
        <v>2327.8937299999998</v>
      </c>
      <c r="E2071" s="20"/>
    </row>
    <row r="2072" spans="1:5">
      <c r="A2072" s="17">
        <v>7</v>
      </c>
      <c r="B2072" s="18" t="s">
        <v>629</v>
      </c>
      <c r="C2072" s="19">
        <v>13110195600098</v>
      </c>
      <c r="D2072" s="20">
        <f>2289460.72/1000</f>
        <v>2289.46072</v>
      </c>
      <c r="E2072" s="20"/>
    </row>
    <row r="2073" spans="1:5">
      <c r="A2073" s="17">
        <v>8</v>
      </c>
      <c r="B2073" s="18" t="s">
        <v>1545</v>
      </c>
      <c r="C2073" s="19">
        <v>21703199502270</v>
      </c>
      <c r="D2073" s="20">
        <f>1940539.19/1000</f>
        <v>1940.53919</v>
      </c>
      <c r="E2073" s="20"/>
    </row>
    <row r="2074" spans="1:5">
      <c r="A2074" s="17">
        <v>9</v>
      </c>
      <c r="B2074" s="18" t="s">
        <v>2697</v>
      </c>
      <c r="C2074" s="19">
        <v>21203199100553</v>
      </c>
      <c r="D2074" s="20">
        <f>1760719.11/1000</f>
        <v>1760.71911</v>
      </c>
      <c r="E2074" s="20"/>
    </row>
    <row r="2075" spans="1:5">
      <c r="A2075" s="17">
        <v>10</v>
      </c>
      <c r="B2075" s="18" t="s">
        <v>1990</v>
      </c>
      <c r="C2075" s="19">
        <v>2007201510147</v>
      </c>
      <c r="D2075" s="20">
        <f>1668493.9/1000</f>
        <v>1668.4938999999999</v>
      </c>
      <c r="E2075" s="20"/>
    </row>
    <row r="2076" spans="1:5" ht="31.5">
      <c r="A2076" s="17">
        <v>11</v>
      </c>
      <c r="B2076" s="18" t="s">
        <v>1867</v>
      </c>
      <c r="C2076" s="19">
        <v>603199210017</v>
      </c>
      <c r="D2076" s="20">
        <f>1079955.84/1000</f>
        <v>1079.9558400000001</v>
      </c>
      <c r="E2076" s="20"/>
    </row>
    <row r="2077" spans="1:5">
      <c r="A2077" s="17">
        <v>12</v>
      </c>
      <c r="B2077" s="18" t="s">
        <v>708</v>
      </c>
      <c r="C2077" s="19">
        <v>21611198400087</v>
      </c>
      <c r="D2077" s="20">
        <f>1080113.33/1000</f>
        <v>1080.1133300000001</v>
      </c>
      <c r="E2077" s="20"/>
    </row>
    <row r="2078" spans="1:5">
      <c r="A2078" s="17">
        <v>13</v>
      </c>
      <c r="B2078" s="18" t="s">
        <v>1790</v>
      </c>
      <c r="C2078" s="19">
        <v>20910194200135</v>
      </c>
      <c r="D2078" s="20">
        <f>902389.1/1000</f>
        <v>902.38909999999998</v>
      </c>
      <c r="E2078" s="20"/>
    </row>
    <row r="2079" spans="1:5">
      <c r="A2079" s="17">
        <v>14</v>
      </c>
      <c r="B2079" s="18" t="s">
        <v>628</v>
      </c>
      <c r="C2079" s="19">
        <v>12609196100169</v>
      </c>
      <c r="D2079" s="20">
        <f>814687.42/1000</f>
        <v>814.68742000000009</v>
      </c>
      <c r="E2079" s="20"/>
    </row>
    <row r="2080" spans="1:5">
      <c r="A2080" s="17">
        <v>15</v>
      </c>
      <c r="B2080" s="18" t="s">
        <v>648</v>
      </c>
      <c r="C2080" s="19">
        <v>21011198100555</v>
      </c>
      <c r="D2080" s="20">
        <f>662216.44/1000</f>
        <v>662.21643999999992</v>
      </c>
      <c r="E2080" s="20"/>
    </row>
    <row r="2081" spans="1:5">
      <c r="A2081" s="17">
        <v>16</v>
      </c>
      <c r="B2081" s="18" t="s">
        <v>1992</v>
      </c>
      <c r="C2081" s="19">
        <v>21308198701133</v>
      </c>
      <c r="D2081" s="20">
        <f>650503.17/1000</f>
        <v>650.50317000000007</v>
      </c>
      <c r="E2081" s="20"/>
    </row>
    <row r="2082" spans="1:5">
      <c r="A2082" s="17">
        <v>17</v>
      </c>
      <c r="B2082" s="18" t="s">
        <v>1991</v>
      </c>
      <c r="C2082" s="19">
        <v>22810198801538</v>
      </c>
      <c r="D2082" s="20">
        <f>631756.54/1000</f>
        <v>631.75654000000009</v>
      </c>
      <c r="E2082" s="20"/>
    </row>
    <row r="2083" spans="1:5">
      <c r="A2083" s="17">
        <v>18</v>
      </c>
      <c r="B2083" s="18" t="s">
        <v>1791</v>
      </c>
      <c r="C2083" s="19" t="s">
        <v>1617</v>
      </c>
      <c r="D2083" s="20"/>
      <c r="E2083" s="20">
        <v>47886.966240000002</v>
      </c>
    </row>
    <row r="2084" spans="1:5">
      <c r="A2084" s="17">
        <v>19</v>
      </c>
      <c r="B2084" s="18" t="s">
        <v>1868</v>
      </c>
      <c r="C2084" s="19" t="s">
        <v>1631</v>
      </c>
      <c r="D2084" s="20"/>
      <c r="E2084" s="20">
        <v>31313.819029999999</v>
      </c>
    </row>
    <row r="2085" spans="1:5">
      <c r="A2085" s="17">
        <v>20</v>
      </c>
      <c r="B2085" s="18" t="s">
        <v>1928</v>
      </c>
      <c r="C2085" s="19" t="s">
        <v>1632</v>
      </c>
      <c r="D2085" s="20"/>
      <c r="E2085" s="20">
        <v>28154.965410000001</v>
      </c>
    </row>
    <row r="2086" spans="1:5">
      <c r="A2086" s="17">
        <v>21</v>
      </c>
      <c r="B2086" s="18" t="s">
        <v>2388</v>
      </c>
      <c r="C2086" s="19" t="s">
        <v>1633</v>
      </c>
      <c r="D2086" s="20"/>
      <c r="E2086" s="20">
        <v>8201.5238100000006</v>
      </c>
    </row>
    <row r="2087" spans="1:5">
      <c r="A2087" s="17">
        <v>22</v>
      </c>
      <c r="B2087" s="18" t="s">
        <v>2700</v>
      </c>
      <c r="C2087" s="19" t="s">
        <v>2699</v>
      </c>
      <c r="D2087" s="20"/>
      <c r="E2087" s="20">
        <v>834.20576000000005</v>
      </c>
    </row>
    <row r="2088" spans="1:5">
      <c r="A2088" s="17"/>
      <c r="B2088" s="25" t="s">
        <v>2</v>
      </c>
      <c r="C2088" s="34"/>
      <c r="D2088" s="35">
        <f>SUM(D2066:D2087)</f>
        <v>31039.793079999992</v>
      </c>
      <c r="E2088" s="35">
        <f>SUM(E2066:E2087)</f>
        <v>117570.28025000001</v>
      </c>
    </row>
    <row r="2089" spans="1:5">
      <c r="A2089" s="4" t="s">
        <v>32</v>
      </c>
      <c r="B2089" s="4"/>
      <c r="C2089" s="4"/>
      <c r="D2089" s="4"/>
      <c r="E2089" s="4"/>
    </row>
    <row r="2090" spans="1:5">
      <c r="A2090" s="17">
        <v>1</v>
      </c>
      <c r="B2090" s="18" t="s">
        <v>1929</v>
      </c>
      <c r="C2090" s="19">
        <v>311201510018</v>
      </c>
      <c r="D2090" s="20">
        <f>250239201.54/1000</f>
        <v>250239.20153999998</v>
      </c>
      <c r="E2090" s="20">
        <v>12549.2</v>
      </c>
    </row>
    <row r="2091" spans="1:5">
      <c r="A2091" s="17">
        <v>2</v>
      </c>
      <c r="B2091" s="18" t="s">
        <v>1069</v>
      </c>
      <c r="C2091" s="19">
        <v>1701201310077</v>
      </c>
      <c r="D2091" s="20">
        <f>19799515.67/1000</f>
        <v>19799.515670000001</v>
      </c>
      <c r="E2091" s="20"/>
    </row>
    <row r="2092" spans="1:5">
      <c r="A2092" s="17">
        <v>3</v>
      </c>
      <c r="B2092" s="18" t="s">
        <v>1068</v>
      </c>
      <c r="C2092" s="19">
        <v>21409199100042</v>
      </c>
      <c r="D2092" s="20">
        <f>9797749.53/1000</f>
        <v>9797.7495299999991</v>
      </c>
      <c r="E2092" s="20"/>
    </row>
    <row r="2093" spans="1:5">
      <c r="A2093" s="17">
        <v>4</v>
      </c>
      <c r="B2093" s="18" t="s">
        <v>695</v>
      </c>
      <c r="C2093" s="19">
        <v>20602196500268</v>
      </c>
      <c r="D2093" s="20">
        <f>9252494.64/1000</f>
        <v>9252.4946400000008</v>
      </c>
      <c r="E2093" s="20"/>
    </row>
    <row r="2094" spans="1:5">
      <c r="A2094" s="17">
        <v>5</v>
      </c>
      <c r="B2094" s="18" t="s">
        <v>389</v>
      </c>
      <c r="C2094" s="19">
        <v>21409199001130</v>
      </c>
      <c r="D2094" s="20">
        <f>6815943.76/1000</f>
        <v>6815.9437600000001</v>
      </c>
      <c r="E2094" s="20"/>
    </row>
    <row r="2095" spans="1:5">
      <c r="A2095" s="17">
        <v>6</v>
      </c>
      <c r="B2095" s="18" t="s">
        <v>1070</v>
      </c>
      <c r="C2095" s="19">
        <v>3007201510136</v>
      </c>
      <c r="D2095" s="20">
        <f>6307823.63/1000</f>
        <v>6307.8236299999999</v>
      </c>
      <c r="E2095" s="20"/>
    </row>
    <row r="2096" spans="1:5">
      <c r="A2096" s="17">
        <v>7</v>
      </c>
      <c r="B2096" s="18" t="s">
        <v>1071</v>
      </c>
      <c r="C2096" s="19">
        <v>1108202110264</v>
      </c>
      <c r="D2096" s="20">
        <f>3633712.72/1000</f>
        <v>3633.71272</v>
      </c>
      <c r="E2096" s="20"/>
    </row>
    <row r="2097" spans="1:5">
      <c r="A2097" s="17">
        <v>8</v>
      </c>
      <c r="B2097" s="18" t="s">
        <v>697</v>
      </c>
      <c r="C2097" s="19">
        <v>1303201810124</v>
      </c>
      <c r="D2097" s="20">
        <f>3707445.65/1000</f>
        <v>3707.4456500000001</v>
      </c>
      <c r="E2097" s="20"/>
    </row>
    <row r="2098" spans="1:5">
      <c r="A2098" s="17">
        <v>9</v>
      </c>
      <c r="B2098" s="18" t="s">
        <v>2392</v>
      </c>
      <c r="C2098" s="19">
        <v>1901200610013</v>
      </c>
      <c r="D2098" s="20">
        <f>3457952.34/1000</f>
        <v>3457.9523399999998</v>
      </c>
      <c r="E2098" s="20"/>
    </row>
    <row r="2099" spans="1:5">
      <c r="A2099" s="17">
        <v>10</v>
      </c>
      <c r="B2099" s="18" t="s">
        <v>696</v>
      </c>
      <c r="C2099" s="19">
        <v>208201410206</v>
      </c>
      <c r="D2099" s="20">
        <f>3319071.84/1000</f>
        <v>3319.0718400000001</v>
      </c>
      <c r="E2099" s="20"/>
    </row>
    <row r="2100" spans="1:5">
      <c r="A2100" s="17">
        <v>11</v>
      </c>
      <c r="B2100" s="18" t="s">
        <v>390</v>
      </c>
      <c r="C2100" s="19">
        <v>22108197700674</v>
      </c>
      <c r="D2100" s="20">
        <f>3187622.73/1000</f>
        <v>3187.62273</v>
      </c>
      <c r="E2100" s="20"/>
    </row>
    <row r="2101" spans="1:5">
      <c r="A2101" s="17">
        <v>12</v>
      </c>
      <c r="B2101" s="18" t="s">
        <v>698</v>
      </c>
      <c r="C2101" s="19">
        <v>2606201510212</v>
      </c>
      <c r="D2101" s="20">
        <f>2678585.4/1000</f>
        <v>2678.5853999999999</v>
      </c>
      <c r="E2101" s="20"/>
    </row>
    <row r="2102" spans="1:5">
      <c r="A2102" s="17">
        <v>13</v>
      </c>
      <c r="B2102" s="18" t="s">
        <v>699</v>
      </c>
      <c r="C2102" s="19">
        <v>20905199301764</v>
      </c>
      <c r="D2102" s="20">
        <f>2078138/1000</f>
        <v>2078.1379999999999</v>
      </c>
      <c r="E2102" s="20"/>
    </row>
    <row r="2103" spans="1:5">
      <c r="A2103" s="17">
        <v>14</v>
      </c>
      <c r="B2103" s="18" t="s">
        <v>388</v>
      </c>
      <c r="C2103" s="19">
        <v>307201710018</v>
      </c>
      <c r="D2103" s="20">
        <f>1662343.9/1000</f>
        <v>1662.3438999999998</v>
      </c>
      <c r="E2103" s="20"/>
    </row>
    <row r="2104" spans="1:5">
      <c r="A2104" s="17">
        <v>15</v>
      </c>
      <c r="B2104" s="18" t="s">
        <v>700</v>
      </c>
      <c r="C2104" s="19">
        <v>1707201310061</v>
      </c>
      <c r="D2104" s="20">
        <f>1516744.72/1000</f>
        <v>1516.7447199999999</v>
      </c>
      <c r="E2104" s="20"/>
    </row>
    <row r="2105" spans="1:5">
      <c r="A2105" s="17">
        <v>16</v>
      </c>
      <c r="B2105" s="18" t="s">
        <v>701</v>
      </c>
      <c r="C2105" s="19">
        <v>11101196500790</v>
      </c>
      <c r="D2105" s="20">
        <f>1371557.05/1000</f>
        <v>1371.5570500000001</v>
      </c>
      <c r="E2105" s="20"/>
    </row>
    <row r="2106" spans="1:5">
      <c r="A2106" s="17">
        <v>17</v>
      </c>
      <c r="B2106" s="18" t="s">
        <v>1846</v>
      </c>
      <c r="C2106" s="19">
        <v>2808201210151</v>
      </c>
      <c r="D2106" s="20">
        <f>1277045.08/1000</f>
        <v>1277.0450800000001</v>
      </c>
      <c r="E2106" s="20"/>
    </row>
    <row r="2107" spans="1:5">
      <c r="A2107" s="17">
        <v>18</v>
      </c>
      <c r="B2107" s="18" t="s">
        <v>521</v>
      </c>
      <c r="C2107" s="19">
        <v>708200210030</v>
      </c>
      <c r="D2107" s="20">
        <f>1130601.96/1000</f>
        <v>1130.60196</v>
      </c>
      <c r="E2107" s="20">
        <v>895.1</v>
      </c>
    </row>
    <row r="2108" spans="1:5">
      <c r="A2108" s="17">
        <v>19</v>
      </c>
      <c r="B2108" s="18" t="s">
        <v>1072</v>
      </c>
      <c r="C2108" s="19">
        <v>2102201110055</v>
      </c>
      <c r="D2108" s="20">
        <f>1082015.42/1000</f>
        <v>1082.0154199999999</v>
      </c>
      <c r="E2108" s="20"/>
    </row>
    <row r="2109" spans="1:5">
      <c r="A2109" s="17">
        <v>20</v>
      </c>
      <c r="B2109" s="18" t="s">
        <v>2690</v>
      </c>
      <c r="C2109" s="19">
        <v>1701201210257</v>
      </c>
      <c r="D2109" s="20">
        <f>913109.05/1000</f>
        <v>913.10905000000002</v>
      </c>
      <c r="E2109" s="20"/>
    </row>
    <row r="2110" spans="1:5">
      <c r="A2110" s="17">
        <v>21</v>
      </c>
      <c r="B2110" s="18" t="s">
        <v>2694</v>
      </c>
      <c r="C2110" s="19">
        <v>1312200410075</v>
      </c>
      <c r="D2110" s="20">
        <f>978901.55/1000</f>
        <v>978.90155000000004</v>
      </c>
      <c r="E2110" s="20">
        <v>603.70000000000005</v>
      </c>
    </row>
    <row r="2111" spans="1:5">
      <c r="A2111" s="17">
        <v>22</v>
      </c>
      <c r="B2111" s="18" t="s">
        <v>702</v>
      </c>
      <c r="C2111" s="19">
        <v>21807196810080</v>
      </c>
      <c r="D2111" s="20">
        <f>909885/1000</f>
        <v>909.88499999999999</v>
      </c>
      <c r="E2111" s="20"/>
    </row>
    <row r="2112" spans="1:5">
      <c r="A2112" s="17">
        <v>23</v>
      </c>
      <c r="B2112" s="18" t="s">
        <v>703</v>
      </c>
      <c r="C2112" s="19">
        <v>11303197801482</v>
      </c>
      <c r="D2112" s="20">
        <f>829777.32/1000</f>
        <v>829.77731999999992</v>
      </c>
      <c r="E2112" s="20"/>
    </row>
    <row r="2113" spans="1:5">
      <c r="A2113" s="17">
        <v>24</v>
      </c>
      <c r="B2113" s="18" t="s">
        <v>2691</v>
      </c>
      <c r="C2113" s="19">
        <v>306201910275</v>
      </c>
      <c r="D2113" s="20">
        <f>682153.69/1000</f>
        <v>682.15368999999998</v>
      </c>
      <c r="E2113" s="20"/>
    </row>
    <row r="2114" spans="1:5">
      <c r="A2114" s="17">
        <v>25</v>
      </c>
      <c r="B2114" s="18" t="s">
        <v>2390</v>
      </c>
      <c r="C2114" s="19">
        <v>1208202210020</v>
      </c>
      <c r="D2114" s="20">
        <f>599806.11/1000</f>
        <v>599.80610999999999</v>
      </c>
      <c r="E2114" s="20"/>
    </row>
    <row r="2115" spans="1:5">
      <c r="A2115" s="17">
        <v>26</v>
      </c>
      <c r="B2115" s="18" t="s">
        <v>2391</v>
      </c>
      <c r="C2115" s="19">
        <v>1906201310090</v>
      </c>
      <c r="D2115" s="20">
        <f>534763.42/1000</f>
        <v>534.76342</v>
      </c>
      <c r="E2115" s="20"/>
    </row>
    <row r="2116" spans="1:5">
      <c r="A2116" s="17">
        <v>27</v>
      </c>
      <c r="B2116" s="18" t="s">
        <v>2692</v>
      </c>
      <c r="C2116" s="19">
        <v>10307195500488</v>
      </c>
      <c r="D2116" s="20">
        <f>506168.36/1000</f>
        <v>506.16836000000001</v>
      </c>
      <c r="E2116" s="20"/>
    </row>
    <row r="2117" spans="1:5">
      <c r="A2117" s="17">
        <v>28</v>
      </c>
      <c r="B2117" s="18" t="s">
        <v>2693</v>
      </c>
      <c r="C2117" s="19">
        <v>20807198000525</v>
      </c>
      <c r="D2117" s="20">
        <f>501134.63/1000</f>
        <v>501.13463000000002</v>
      </c>
      <c r="E2117" s="20"/>
    </row>
    <row r="2118" spans="1:5">
      <c r="A2118" s="17">
        <v>29</v>
      </c>
      <c r="B2118" s="18" t="s">
        <v>704</v>
      </c>
      <c r="C2118" s="19">
        <v>11808198400547</v>
      </c>
      <c r="D2118" s="20">
        <f>500174.57/1000</f>
        <v>500.17457000000002</v>
      </c>
      <c r="E2118" s="20"/>
    </row>
    <row r="2119" spans="1:5">
      <c r="A2119" s="17">
        <v>30</v>
      </c>
      <c r="B2119" s="18" t="s">
        <v>1791</v>
      </c>
      <c r="C2119" s="19" t="s">
        <v>1617</v>
      </c>
      <c r="D2119" s="20"/>
      <c r="E2119" s="20">
        <v>2890.0018</v>
      </c>
    </row>
    <row r="2120" spans="1:5">
      <c r="A2120" s="17">
        <v>31</v>
      </c>
      <c r="B2120" s="18" t="s">
        <v>774</v>
      </c>
      <c r="C2120" s="19" t="s">
        <v>1628</v>
      </c>
      <c r="D2120" s="20"/>
      <c r="E2120" s="20">
        <v>1538.7861599999999</v>
      </c>
    </row>
    <row r="2121" spans="1:5">
      <c r="A2121" s="17">
        <v>32</v>
      </c>
      <c r="B2121" s="18" t="s">
        <v>1792</v>
      </c>
      <c r="C2121" s="19" t="s">
        <v>1630</v>
      </c>
      <c r="D2121" s="20"/>
      <c r="E2121" s="20">
        <v>912.22388000000012</v>
      </c>
    </row>
    <row r="2122" spans="1:5">
      <c r="A2122" s="17">
        <v>33</v>
      </c>
      <c r="B2122" s="18" t="s">
        <v>1930</v>
      </c>
      <c r="C2122" s="19" t="s">
        <v>1629</v>
      </c>
      <c r="D2122" s="20"/>
      <c r="E2122" s="20">
        <v>896.69016999999997</v>
      </c>
    </row>
    <row r="2123" spans="1:5">
      <c r="A2123" s="17">
        <v>34</v>
      </c>
      <c r="B2123" s="18" t="s">
        <v>2696</v>
      </c>
      <c r="C2123" s="19" t="s">
        <v>2695</v>
      </c>
      <c r="D2123" s="20"/>
      <c r="E2123" s="20">
        <v>631.70656999999994</v>
      </c>
    </row>
    <row r="2124" spans="1:5">
      <c r="A2124" s="34"/>
      <c r="B2124" s="25" t="s">
        <v>2</v>
      </c>
      <c r="C2124" s="34"/>
      <c r="D2124" s="35">
        <f>SUM(D2090:D2123)</f>
        <v>339271.43927999993</v>
      </c>
      <c r="E2124" s="35">
        <f>SUM(E2090:E2123)</f>
        <v>20917.408580000003</v>
      </c>
    </row>
    <row r="2125" spans="1:5">
      <c r="A2125" s="53" t="s">
        <v>33</v>
      </c>
      <c r="B2125" s="53"/>
      <c r="C2125" s="53"/>
      <c r="D2125" s="53"/>
      <c r="E2125" s="53"/>
    </row>
    <row r="2126" spans="1:5">
      <c r="A2126" s="17">
        <v>1</v>
      </c>
      <c r="B2126" s="18" t="s">
        <v>2633</v>
      </c>
      <c r="C2126" s="19">
        <v>20202196401512</v>
      </c>
      <c r="D2126" s="20">
        <f>866916.66/1000</f>
        <v>866.91665999999998</v>
      </c>
      <c r="E2126" s="20"/>
    </row>
    <row r="2127" spans="1:5">
      <c r="A2127" s="17">
        <v>2</v>
      </c>
      <c r="B2127" s="18" t="s">
        <v>58</v>
      </c>
      <c r="C2127" s="19">
        <v>1410201110069</v>
      </c>
      <c r="D2127" s="20">
        <f>553205.95/1000</f>
        <v>553.20594999999992</v>
      </c>
      <c r="E2127" s="20"/>
    </row>
    <row r="2128" spans="1:5">
      <c r="A2128" s="17">
        <v>3</v>
      </c>
      <c r="B2128" s="18" t="s">
        <v>791</v>
      </c>
      <c r="C2128" s="19">
        <v>22910199200972</v>
      </c>
      <c r="D2128" s="20">
        <f>542855.83/1000</f>
        <v>542.85582999999997</v>
      </c>
      <c r="E2128" s="20"/>
    </row>
    <row r="2129" spans="1:5">
      <c r="A2129" s="17">
        <v>4</v>
      </c>
      <c r="B2129" s="18" t="s">
        <v>1791</v>
      </c>
      <c r="C2129" s="19" t="s">
        <v>1617</v>
      </c>
      <c r="D2129" s="20"/>
      <c r="E2129" s="20">
        <v>2682.35725</v>
      </c>
    </row>
    <row r="2130" spans="1:5">
      <c r="A2130" s="17">
        <v>5</v>
      </c>
      <c r="B2130" s="18" t="s">
        <v>2635</v>
      </c>
      <c r="C2130" s="19" t="s">
        <v>2634</v>
      </c>
      <c r="D2130" s="20"/>
      <c r="E2130" s="20">
        <v>569.70143000000007</v>
      </c>
    </row>
    <row r="2131" spans="1:5">
      <c r="A2131" s="34"/>
      <c r="B2131" s="25" t="s">
        <v>2</v>
      </c>
      <c r="C2131" s="34"/>
      <c r="D2131" s="35">
        <f>SUM(D2126:D2130)</f>
        <v>1962.9784399999999</v>
      </c>
      <c r="E2131" s="35">
        <f>SUM(E2126:E2130)</f>
        <v>3252.0586800000001</v>
      </c>
    </row>
    <row r="2132" spans="1:5">
      <c r="A2132" s="53" t="s">
        <v>42</v>
      </c>
      <c r="B2132" s="53"/>
      <c r="C2132" s="53"/>
      <c r="D2132" s="53"/>
      <c r="E2132" s="53"/>
    </row>
    <row r="2133" spans="1:5">
      <c r="A2133" s="17">
        <v>1</v>
      </c>
      <c r="B2133" s="18" t="s">
        <v>392</v>
      </c>
      <c r="C2133" s="19">
        <v>1212200810088</v>
      </c>
      <c r="D2133" s="20">
        <f>51707624.66/1000</f>
        <v>51707.624659999994</v>
      </c>
      <c r="E2133" s="20"/>
    </row>
    <row r="2134" spans="1:5">
      <c r="A2134" s="17">
        <v>2</v>
      </c>
      <c r="B2134" s="18" t="s">
        <v>529</v>
      </c>
      <c r="C2134" s="19">
        <v>21905199501048</v>
      </c>
      <c r="D2134" s="20">
        <f>7384849.79/1000</f>
        <v>7384.8497900000002</v>
      </c>
      <c r="E2134" s="20"/>
    </row>
    <row r="2135" spans="1:5">
      <c r="A2135" s="17">
        <v>3</v>
      </c>
      <c r="B2135" s="18" t="s">
        <v>439</v>
      </c>
      <c r="C2135" s="19">
        <v>22511199901298</v>
      </c>
      <c r="D2135" s="20">
        <f>5909576.06/1000</f>
        <v>5909.5760599999994</v>
      </c>
      <c r="E2135" s="20"/>
    </row>
    <row r="2136" spans="1:5">
      <c r="A2136" s="17">
        <v>4</v>
      </c>
      <c r="B2136" s="18" t="s">
        <v>2638</v>
      </c>
      <c r="C2136" s="19">
        <v>1310202210046</v>
      </c>
      <c r="D2136" s="20">
        <f>535592.38/1000</f>
        <v>535.59238000000005</v>
      </c>
      <c r="E2136" s="20"/>
    </row>
    <row r="2137" spans="1:5">
      <c r="A2137" s="17">
        <v>5</v>
      </c>
      <c r="B2137" s="18" t="s">
        <v>1547</v>
      </c>
      <c r="C2137" s="19">
        <v>1102201110066</v>
      </c>
      <c r="D2137" s="20">
        <f>2993147.24/1000</f>
        <v>2993.1472400000002</v>
      </c>
      <c r="E2137" s="20"/>
    </row>
    <row r="2138" spans="1:5">
      <c r="A2138" s="17">
        <v>6</v>
      </c>
      <c r="B2138" s="18" t="s">
        <v>144</v>
      </c>
      <c r="C2138" s="19">
        <v>406200910097</v>
      </c>
      <c r="D2138" s="20">
        <f>2996548.33/1000</f>
        <v>2996.5483300000001</v>
      </c>
      <c r="E2138" s="20"/>
    </row>
    <row r="2139" spans="1:5">
      <c r="A2139" s="17">
        <v>7</v>
      </c>
      <c r="B2139" s="18" t="s">
        <v>2636</v>
      </c>
      <c r="C2139" s="19">
        <v>2602201910082</v>
      </c>
      <c r="D2139" s="20">
        <f>1709762.26/1000</f>
        <v>1709.76226</v>
      </c>
      <c r="E2139" s="20"/>
    </row>
    <row r="2140" spans="1:5">
      <c r="A2140" s="17">
        <v>8</v>
      </c>
      <c r="B2140" s="18" t="s">
        <v>1627</v>
      </c>
      <c r="C2140" s="19">
        <v>101193610026</v>
      </c>
      <c r="D2140" s="20">
        <f>1737275.06/1000</f>
        <v>1737.2750600000002</v>
      </c>
      <c r="E2140" s="20">
        <v>907</v>
      </c>
    </row>
    <row r="2141" spans="1:5">
      <c r="A2141" s="17">
        <v>9</v>
      </c>
      <c r="B2141" s="18" t="s">
        <v>2375</v>
      </c>
      <c r="C2141" s="19">
        <v>1104200710477</v>
      </c>
      <c r="D2141" s="20">
        <f>1401094.08/1000</f>
        <v>1401.0940800000001</v>
      </c>
      <c r="E2141" s="20"/>
    </row>
    <row r="2142" spans="1:5">
      <c r="A2142" s="17">
        <v>10</v>
      </c>
      <c r="B2142" s="18" t="s">
        <v>1850</v>
      </c>
      <c r="C2142" s="19">
        <v>41109202010121</v>
      </c>
      <c r="D2142" s="20">
        <f>1278240.11/1000</f>
        <v>1278.2401100000002</v>
      </c>
      <c r="E2142" s="20">
        <v>1756.3</v>
      </c>
    </row>
    <row r="2143" spans="1:5">
      <c r="A2143" s="17">
        <v>11</v>
      </c>
      <c r="B2143" s="18" t="s">
        <v>2639</v>
      </c>
      <c r="C2143" s="19">
        <v>1001201510059</v>
      </c>
      <c r="D2143" s="20">
        <f>1395340.49/1000</f>
        <v>1395.34049</v>
      </c>
      <c r="E2143" s="20"/>
    </row>
    <row r="2144" spans="1:5">
      <c r="A2144" s="17">
        <v>12</v>
      </c>
      <c r="B2144" s="18" t="s">
        <v>2640</v>
      </c>
      <c r="C2144" s="19">
        <v>105194110018</v>
      </c>
      <c r="D2144" s="20">
        <f>881177.59/1000</f>
        <v>881.17759000000001</v>
      </c>
      <c r="E2144" s="20"/>
    </row>
    <row r="2145" spans="1:5">
      <c r="A2145" s="17">
        <v>13</v>
      </c>
      <c r="B2145" s="18" t="s">
        <v>2637</v>
      </c>
      <c r="C2145" s="19">
        <v>1502200510019</v>
      </c>
      <c r="D2145" s="20">
        <f>776825/1000</f>
        <v>776.82500000000005</v>
      </c>
      <c r="E2145" s="20"/>
    </row>
    <row r="2146" spans="1:5">
      <c r="A2146" s="17">
        <v>14</v>
      </c>
      <c r="B2146" s="18" t="s">
        <v>1546</v>
      </c>
      <c r="C2146" s="19">
        <v>20806198800664</v>
      </c>
      <c r="D2146" s="20">
        <f>728527.52/1000</f>
        <v>728.52751999999998</v>
      </c>
      <c r="E2146" s="20"/>
    </row>
    <row r="2147" spans="1:5">
      <c r="A2147" s="17">
        <v>15</v>
      </c>
      <c r="B2147" s="18" t="s">
        <v>1075</v>
      </c>
      <c r="C2147" s="19">
        <v>1704201510077</v>
      </c>
      <c r="D2147" s="20">
        <f>671418.14/1000</f>
        <v>671.41813999999999</v>
      </c>
      <c r="E2147" s="20"/>
    </row>
    <row r="2148" spans="1:5">
      <c r="A2148" s="17">
        <v>16</v>
      </c>
      <c r="B2148" s="18" t="s">
        <v>391</v>
      </c>
      <c r="C2148" s="19">
        <v>1802201510322</v>
      </c>
      <c r="D2148" s="20">
        <f>658365.2/1000</f>
        <v>658.36519999999996</v>
      </c>
      <c r="E2148" s="20"/>
    </row>
    <row r="2149" spans="1:5">
      <c r="A2149" s="17">
        <v>17</v>
      </c>
      <c r="B2149" s="18" t="s">
        <v>1791</v>
      </c>
      <c r="C2149" s="19" t="s">
        <v>1617</v>
      </c>
      <c r="D2149" s="20"/>
      <c r="E2149" s="20">
        <v>3298.7987699999999</v>
      </c>
    </row>
    <row r="2150" spans="1:5">
      <c r="A2150" s="17">
        <v>18</v>
      </c>
      <c r="B2150" s="18" t="s">
        <v>965</v>
      </c>
      <c r="C2150" s="19" t="s">
        <v>2376</v>
      </c>
      <c r="D2150" s="20"/>
      <c r="E2150" s="20">
        <v>982.64473999999996</v>
      </c>
    </row>
    <row r="2151" spans="1:5">
      <c r="A2151" s="17">
        <v>19</v>
      </c>
      <c r="B2151" s="18" t="s">
        <v>2378</v>
      </c>
      <c r="C2151" s="19" t="s">
        <v>2377</v>
      </c>
      <c r="D2151" s="20"/>
      <c r="E2151" s="20">
        <v>596.09083999999996</v>
      </c>
    </row>
    <row r="2152" spans="1:5">
      <c r="A2152" s="34"/>
      <c r="B2152" s="25" t="s">
        <v>2</v>
      </c>
      <c r="C2152" s="34"/>
      <c r="D2152" s="35">
        <f>SUM(D2133:D2151)</f>
        <v>82765.36391</v>
      </c>
      <c r="E2152" s="35">
        <f>SUM(E2133:E2151)</f>
        <v>7540.8343500000001</v>
      </c>
    </row>
    <row r="2153" spans="1:5">
      <c r="A2153" s="53" t="s">
        <v>1553</v>
      </c>
      <c r="B2153" s="53"/>
      <c r="C2153" s="53"/>
      <c r="D2153" s="53"/>
      <c r="E2153" s="53"/>
    </row>
    <row r="2154" spans="1:5">
      <c r="A2154" s="17">
        <v>1</v>
      </c>
      <c r="B2154" s="18" t="s">
        <v>1554</v>
      </c>
      <c r="C2154" s="19">
        <v>103202210036</v>
      </c>
      <c r="D2154" s="20">
        <f>47167138.04/1000</f>
        <v>47167.138039999998</v>
      </c>
      <c r="E2154" s="20"/>
    </row>
    <row r="2155" spans="1:5">
      <c r="A2155" s="17">
        <v>2</v>
      </c>
      <c r="B2155" s="18" t="s">
        <v>967</v>
      </c>
      <c r="C2155" s="19">
        <v>20504198901920</v>
      </c>
      <c r="D2155" s="20">
        <f>5158757.74/1000</f>
        <v>5158.75774</v>
      </c>
      <c r="E2155" s="20"/>
    </row>
    <row r="2156" spans="1:5">
      <c r="A2156" s="17">
        <v>3</v>
      </c>
      <c r="B2156" s="18" t="s">
        <v>1555</v>
      </c>
      <c r="C2156" s="19">
        <v>12706196400202</v>
      </c>
      <c r="D2156" s="20">
        <f>2288160.2/1000</f>
        <v>2288.1602000000003</v>
      </c>
      <c r="E2156" s="20"/>
    </row>
    <row r="2157" spans="1:5">
      <c r="A2157" s="17">
        <v>4</v>
      </c>
      <c r="B2157" s="18" t="s">
        <v>1989</v>
      </c>
      <c r="C2157" s="19">
        <v>2812201110045</v>
      </c>
      <c r="D2157" s="20">
        <f>2028063.66/1000</f>
        <v>2028.06366</v>
      </c>
      <c r="E2157" s="20"/>
    </row>
    <row r="2158" spans="1:5">
      <c r="A2158" s="17">
        <v>5</v>
      </c>
      <c r="B2158" s="18" t="s">
        <v>966</v>
      </c>
      <c r="C2158" s="19">
        <v>2603201910033</v>
      </c>
      <c r="D2158" s="20">
        <f>909829.62/1000</f>
        <v>909.82961999999998</v>
      </c>
      <c r="E2158" s="20">
        <v>1264.2</v>
      </c>
    </row>
    <row r="2159" spans="1:5">
      <c r="A2159" s="17">
        <v>6</v>
      </c>
      <c r="B2159" s="18" t="s">
        <v>994</v>
      </c>
      <c r="C2159" s="19">
        <v>511202110135</v>
      </c>
      <c r="D2159" s="20">
        <f>622438.11/1000</f>
        <v>622.43810999999994</v>
      </c>
      <c r="E2159" s="20"/>
    </row>
    <row r="2160" spans="1:5">
      <c r="A2160" s="17">
        <v>7</v>
      </c>
      <c r="B2160" s="18" t="s">
        <v>1556</v>
      </c>
      <c r="C2160" s="19">
        <v>23011199700681</v>
      </c>
      <c r="D2160" s="20">
        <f>638239.88/1000</f>
        <v>638.23987999999997</v>
      </c>
      <c r="E2160" s="20"/>
    </row>
    <row r="2161" spans="1:5">
      <c r="A2161" s="17">
        <v>8</v>
      </c>
      <c r="B2161" s="18" t="s">
        <v>1931</v>
      </c>
      <c r="C2161" s="19" t="s">
        <v>2649</v>
      </c>
      <c r="D2161" s="20"/>
      <c r="E2161" s="20">
        <v>5883.4486099999995</v>
      </c>
    </row>
    <row r="2162" spans="1:5">
      <c r="A2162" s="17">
        <v>9</v>
      </c>
      <c r="B2162" s="18" t="s">
        <v>2387</v>
      </c>
      <c r="C2162" s="19" t="s">
        <v>1623</v>
      </c>
      <c r="D2162" s="20"/>
      <c r="E2162" s="20">
        <v>4000.4398300000003</v>
      </c>
    </row>
    <row r="2163" spans="1:5">
      <c r="A2163" s="17">
        <v>10</v>
      </c>
      <c r="B2163" s="18" t="s">
        <v>2669</v>
      </c>
      <c r="C2163" s="19" t="s">
        <v>2381</v>
      </c>
      <c r="D2163" s="20"/>
      <c r="E2163" s="20">
        <v>1409.16974</v>
      </c>
    </row>
    <row r="2164" spans="1:5">
      <c r="A2164" s="17">
        <v>11</v>
      </c>
      <c r="B2164" s="18" t="s">
        <v>2670</v>
      </c>
      <c r="C2164" s="19" t="s">
        <v>2382</v>
      </c>
      <c r="D2164" s="20"/>
      <c r="E2164" s="20">
        <v>1311.16425</v>
      </c>
    </row>
    <row r="2165" spans="1:5">
      <c r="A2165" s="17">
        <v>12</v>
      </c>
      <c r="B2165" s="18" t="s">
        <v>1791</v>
      </c>
      <c r="C2165" s="19" t="s">
        <v>1617</v>
      </c>
      <c r="D2165" s="20"/>
      <c r="E2165" s="20">
        <v>1303.2389099999998</v>
      </c>
    </row>
    <row r="2166" spans="1:5">
      <c r="A2166" s="17">
        <v>13</v>
      </c>
      <c r="B2166" s="18" t="s">
        <v>2671</v>
      </c>
      <c r="C2166" s="19" t="s">
        <v>2383</v>
      </c>
      <c r="D2166" s="20"/>
      <c r="E2166" s="20">
        <v>1286.5253799999998</v>
      </c>
    </row>
    <row r="2167" spans="1:5">
      <c r="A2167" s="17">
        <v>14</v>
      </c>
      <c r="B2167" s="18" t="s">
        <v>1557</v>
      </c>
      <c r="C2167" s="19" t="s">
        <v>2379</v>
      </c>
      <c r="D2167" s="20"/>
      <c r="E2167" s="20">
        <v>1280.0965200000001</v>
      </c>
    </row>
    <row r="2168" spans="1:5">
      <c r="A2168" s="17">
        <v>15</v>
      </c>
      <c r="B2168" s="18" t="s">
        <v>2672</v>
      </c>
      <c r="C2168" s="19" t="s">
        <v>1624</v>
      </c>
      <c r="D2168" s="20"/>
      <c r="E2168" s="20">
        <v>1268.46406</v>
      </c>
    </row>
    <row r="2169" spans="1:5">
      <c r="A2169" s="17">
        <v>16</v>
      </c>
      <c r="B2169" s="18" t="s">
        <v>2673</v>
      </c>
      <c r="C2169" s="19" t="s">
        <v>2385</v>
      </c>
      <c r="D2169" s="20"/>
      <c r="E2169" s="20">
        <v>1137.6392700000001</v>
      </c>
    </row>
    <row r="2170" spans="1:5">
      <c r="A2170" s="17">
        <v>17</v>
      </c>
      <c r="B2170" s="18" t="s">
        <v>2389</v>
      </c>
      <c r="C2170" s="19" t="s">
        <v>1625</v>
      </c>
      <c r="D2170" s="20"/>
      <c r="E2170" s="20">
        <v>1007.2173</v>
      </c>
    </row>
    <row r="2171" spans="1:5">
      <c r="A2171" s="17">
        <v>18</v>
      </c>
      <c r="B2171" s="18" t="s">
        <v>1626</v>
      </c>
      <c r="C2171" s="19" t="s">
        <v>2380</v>
      </c>
      <c r="D2171" s="20"/>
      <c r="E2171" s="20">
        <v>960.44345999999996</v>
      </c>
    </row>
    <row r="2172" spans="1:5">
      <c r="A2172" s="17">
        <v>19</v>
      </c>
      <c r="B2172" s="18" t="s">
        <v>2674</v>
      </c>
      <c r="C2172" s="19" t="s">
        <v>2650</v>
      </c>
      <c r="D2172" s="20"/>
      <c r="E2172" s="20">
        <v>881.55462</v>
      </c>
    </row>
    <row r="2173" spans="1:5">
      <c r="A2173" s="17">
        <v>20</v>
      </c>
      <c r="B2173" s="18" t="s">
        <v>2675</v>
      </c>
      <c r="C2173" s="19" t="s">
        <v>2651</v>
      </c>
      <c r="D2173" s="20"/>
      <c r="E2173" s="20">
        <v>851.78094999999996</v>
      </c>
    </row>
    <row r="2174" spans="1:5">
      <c r="A2174" s="17">
        <v>21</v>
      </c>
      <c r="B2174" s="18" t="s">
        <v>2676</v>
      </c>
      <c r="C2174" s="19" t="s">
        <v>2652</v>
      </c>
      <c r="D2174" s="20"/>
      <c r="E2174" s="20">
        <v>833.63878</v>
      </c>
    </row>
    <row r="2175" spans="1:5">
      <c r="A2175" s="17">
        <v>22</v>
      </c>
      <c r="B2175" s="18" t="s">
        <v>2677</v>
      </c>
      <c r="C2175" s="19" t="s">
        <v>2653</v>
      </c>
      <c r="D2175" s="20"/>
      <c r="E2175" s="20">
        <v>828.94979999999998</v>
      </c>
    </row>
    <row r="2176" spans="1:5">
      <c r="A2176" s="17">
        <v>23</v>
      </c>
      <c r="B2176" s="18" t="s">
        <v>2678</v>
      </c>
      <c r="C2176" s="19" t="s">
        <v>2654</v>
      </c>
      <c r="D2176" s="20"/>
      <c r="E2176" s="20">
        <v>783.50855000000001</v>
      </c>
    </row>
    <row r="2177" spans="1:5">
      <c r="A2177" s="17">
        <v>24</v>
      </c>
      <c r="B2177" s="18" t="s">
        <v>2687</v>
      </c>
      <c r="C2177" s="19" t="s">
        <v>2655</v>
      </c>
      <c r="D2177" s="20"/>
      <c r="E2177" s="20">
        <v>731.35875999999996</v>
      </c>
    </row>
    <row r="2178" spans="1:5">
      <c r="A2178" s="17">
        <v>25</v>
      </c>
      <c r="B2178" s="18" t="s">
        <v>2688</v>
      </c>
      <c r="C2178" s="19" t="s">
        <v>2656</v>
      </c>
      <c r="D2178" s="20"/>
      <c r="E2178" s="20">
        <v>664.86580000000004</v>
      </c>
    </row>
    <row r="2179" spans="1:5">
      <c r="A2179" s="17">
        <v>26</v>
      </c>
      <c r="B2179" s="18" t="s">
        <v>2667</v>
      </c>
      <c r="C2179" s="19" t="s">
        <v>2657</v>
      </c>
      <c r="D2179" s="20"/>
      <c r="E2179" s="20">
        <v>645.31481000000008</v>
      </c>
    </row>
    <row r="2180" spans="1:5">
      <c r="A2180" s="17">
        <v>27</v>
      </c>
      <c r="B2180" s="18" t="s">
        <v>2689</v>
      </c>
      <c r="C2180" s="19" t="s">
        <v>2658</v>
      </c>
      <c r="D2180" s="20"/>
      <c r="E2180" s="20">
        <v>639.67135999999982</v>
      </c>
    </row>
    <row r="2181" spans="1:5">
      <c r="A2181" s="17">
        <v>28</v>
      </c>
      <c r="B2181" s="18" t="s">
        <v>2686</v>
      </c>
      <c r="C2181" s="19" t="s">
        <v>2659</v>
      </c>
      <c r="D2181" s="20"/>
      <c r="E2181" s="20">
        <v>634.80852000000004</v>
      </c>
    </row>
    <row r="2182" spans="1:5">
      <c r="A2182" s="17">
        <v>29</v>
      </c>
      <c r="B2182" s="18" t="s">
        <v>1850</v>
      </c>
      <c r="C2182" s="19" t="s">
        <v>2384</v>
      </c>
      <c r="D2182" s="20"/>
      <c r="E2182" s="20">
        <v>633.25588000000005</v>
      </c>
    </row>
    <row r="2183" spans="1:5">
      <c r="A2183" s="17">
        <v>30</v>
      </c>
      <c r="B2183" s="18" t="s">
        <v>2668</v>
      </c>
      <c r="C2183" s="19" t="s">
        <v>2660</v>
      </c>
      <c r="D2183" s="20"/>
      <c r="E2183" s="20">
        <v>623.31648000000007</v>
      </c>
    </row>
    <row r="2184" spans="1:5">
      <c r="A2184" s="17">
        <v>31</v>
      </c>
      <c r="B2184" s="18" t="s">
        <v>2679</v>
      </c>
      <c r="C2184" s="19" t="s">
        <v>2661</v>
      </c>
      <c r="D2184" s="20"/>
      <c r="E2184" s="20">
        <v>592.91920000000005</v>
      </c>
    </row>
    <row r="2185" spans="1:5">
      <c r="A2185" s="17">
        <v>32</v>
      </c>
      <c r="B2185" s="18" t="s">
        <v>2680</v>
      </c>
      <c r="C2185" s="19" t="s">
        <v>2662</v>
      </c>
      <c r="D2185" s="20"/>
      <c r="E2185" s="20">
        <v>591.85787000000005</v>
      </c>
    </row>
    <row r="2186" spans="1:5">
      <c r="A2186" s="17">
        <v>33</v>
      </c>
      <c r="B2186" s="18" t="s">
        <v>2681</v>
      </c>
      <c r="C2186" s="19" t="s">
        <v>2663</v>
      </c>
      <c r="D2186" s="20"/>
      <c r="E2186" s="20">
        <v>590.85579999999993</v>
      </c>
    </row>
    <row r="2187" spans="1:5">
      <c r="A2187" s="17">
        <v>34</v>
      </c>
      <c r="B2187" s="18" t="s">
        <v>2682</v>
      </c>
      <c r="C2187" s="19" t="s">
        <v>2664</v>
      </c>
      <c r="D2187" s="20"/>
      <c r="E2187" s="20">
        <v>530.5596700000001</v>
      </c>
    </row>
    <row r="2188" spans="1:5">
      <c r="A2188" s="17">
        <v>35</v>
      </c>
      <c r="B2188" s="18" t="s">
        <v>2683</v>
      </c>
      <c r="C2188" s="19" t="s">
        <v>2386</v>
      </c>
      <c r="D2188" s="20"/>
      <c r="E2188" s="20">
        <v>527.38179000000002</v>
      </c>
    </row>
    <row r="2189" spans="1:5">
      <c r="A2189" s="17">
        <v>36</v>
      </c>
      <c r="B2189" s="18" t="s">
        <v>2684</v>
      </c>
      <c r="C2189" s="19" t="s">
        <v>2665</v>
      </c>
      <c r="D2189" s="20"/>
      <c r="E2189" s="20">
        <v>504.92459000000002</v>
      </c>
    </row>
    <row r="2190" spans="1:5">
      <c r="A2190" s="17">
        <v>37</v>
      </c>
      <c r="B2190" s="18" t="s">
        <v>2685</v>
      </c>
      <c r="C2190" s="19" t="s">
        <v>2666</v>
      </c>
      <c r="D2190" s="20"/>
      <c r="E2190" s="20">
        <v>502.76754000000005</v>
      </c>
    </row>
    <row r="2191" spans="1:5">
      <c r="A2191" s="34"/>
      <c r="B2191" s="25"/>
      <c r="C2191" s="34"/>
      <c r="D2191" s="35">
        <f>SUM(D2154:D2190)</f>
        <v>58812.627249999998</v>
      </c>
      <c r="E2191" s="35">
        <f>SUM(E2154:E2190)</f>
        <v>34705.338099999994</v>
      </c>
    </row>
    <row r="2192" spans="1:5">
      <c r="A2192" s="4" t="s">
        <v>34</v>
      </c>
      <c r="B2192" s="4"/>
      <c r="C2192" s="4"/>
      <c r="D2192" s="4"/>
      <c r="E2192" s="4"/>
    </row>
    <row r="2193" spans="1:5">
      <c r="A2193" s="17">
        <v>1</v>
      </c>
      <c r="B2193" s="18" t="s">
        <v>913</v>
      </c>
      <c r="C2193" s="19">
        <v>21505199250024</v>
      </c>
      <c r="D2193" s="20">
        <f>10128189.15/1000</f>
        <v>10128.18915</v>
      </c>
      <c r="E2193" s="20"/>
    </row>
    <row r="2194" spans="1:5">
      <c r="A2194" s="17">
        <v>2</v>
      </c>
      <c r="B2194" s="18" t="s">
        <v>2647</v>
      </c>
      <c r="C2194" s="19">
        <v>1103201610061</v>
      </c>
      <c r="D2194" s="20">
        <f>1286916.45/1000</f>
        <v>1286.9164499999999</v>
      </c>
      <c r="E2194" s="20"/>
    </row>
    <row r="2195" spans="1:5">
      <c r="A2195" s="17">
        <v>3</v>
      </c>
      <c r="B2195" s="18" t="s">
        <v>2368</v>
      </c>
      <c r="C2195" s="19">
        <v>3103201610113</v>
      </c>
      <c r="D2195" s="20">
        <f>1240941.85/1000</f>
        <v>1240.9418500000002</v>
      </c>
      <c r="E2195" s="20"/>
    </row>
    <row r="2196" spans="1:5">
      <c r="A2196" s="17">
        <v>4</v>
      </c>
      <c r="B2196" s="18" t="s">
        <v>1081</v>
      </c>
      <c r="C2196" s="19">
        <v>21508198401563</v>
      </c>
      <c r="D2196" s="20">
        <f>1131486/1000</f>
        <v>1131.4860000000001</v>
      </c>
      <c r="E2196" s="20"/>
    </row>
    <row r="2197" spans="1:5">
      <c r="A2197" s="17">
        <v>5</v>
      </c>
      <c r="B2197" s="18" t="s">
        <v>2648</v>
      </c>
      <c r="C2197" s="19">
        <v>1406201610165</v>
      </c>
      <c r="D2197" s="20">
        <f>942543.55/1000</f>
        <v>942.5435500000001</v>
      </c>
      <c r="E2197" s="20"/>
    </row>
    <row r="2198" spans="1:5">
      <c r="A2198" s="17">
        <v>6</v>
      </c>
      <c r="B2198" s="18" t="s">
        <v>912</v>
      </c>
      <c r="C2198" s="19" t="s">
        <v>1621</v>
      </c>
      <c r="D2198" s="20"/>
      <c r="E2198" s="20">
        <v>10569.36707</v>
      </c>
    </row>
    <row r="2199" spans="1:5">
      <c r="A2199" s="17">
        <v>7</v>
      </c>
      <c r="B2199" s="18" t="s">
        <v>1926</v>
      </c>
      <c r="C2199" s="19" t="s">
        <v>1622</v>
      </c>
      <c r="D2199" s="20"/>
      <c r="E2199" s="20">
        <v>2038.5011499999998</v>
      </c>
    </row>
    <row r="2200" spans="1:5">
      <c r="A2200" s="17">
        <v>8</v>
      </c>
      <c r="B2200" s="18" t="s">
        <v>1791</v>
      </c>
      <c r="C2200" s="19" t="s">
        <v>1617</v>
      </c>
      <c r="D2200" s="20"/>
      <c r="E2200" s="20">
        <v>1692.41697</v>
      </c>
    </row>
    <row r="2201" spans="1:5">
      <c r="A2201" s="34"/>
      <c r="B2201" s="25" t="s">
        <v>2</v>
      </c>
      <c r="C2201" s="34"/>
      <c r="D2201" s="35">
        <f>SUM(D2193:D2200)</f>
        <v>14730.077000000003</v>
      </c>
      <c r="E2201" s="35">
        <f>SUM(E2193:E2200)</f>
        <v>14300.285190000001</v>
      </c>
    </row>
    <row r="2202" spans="1:5">
      <c r="A2202" s="4" t="s">
        <v>7</v>
      </c>
      <c r="B2202" s="4"/>
      <c r="C2202" s="4"/>
      <c r="D2202" s="4"/>
      <c r="E2202" s="4"/>
    </row>
    <row r="2203" spans="1:5">
      <c r="A2203" s="41">
        <v>1</v>
      </c>
      <c r="B2203" s="18" t="s">
        <v>74</v>
      </c>
      <c r="C2203" s="19">
        <v>11001196401335</v>
      </c>
      <c r="D2203" s="20">
        <f>49995998/1000</f>
        <v>49995.998</v>
      </c>
      <c r="E2203" s="20"/>
    </row>
    <row r="2204" spans="1:5" ht="31.5">
      <c r="A2204" s="41">
        <v>2</v>
      </c>
      <c r="B2204" s="18" t="s">
        <v>1869</v>
      </c>
      <c r="C2204" s="19">
        <v>1508200110095</v>
      </c>
      <c r="D2204" s="20">
        <f>17572573.16/1000</f>
        <v>17572.57316</v>
      </c>
      <c r="E2204" s="20">
        <v>7150.8</v>
      </c>
    </row>
    <row r="2205" spans="1:5">
      <c r="A2205" s="41">
        <v>3</v>
      </c>
      <c r="B2205" s="18" t="s">
        <v>76</v>
      </c>
      <c r="C2205" s="19">
        <v>21804199000479</v>
      </c>
      <c r="D2205" s="20">
        <f>12025974.97/1000</f>
        <v>12025.974970000001</v>
      </c>
      <c r="E2205" s="20"/>
    </row>
    <row r="2206" spans="1:5">
      <c r="A2206" s="41">
        <v>4</v>
      </c>
      <c r="B2206" s="18" t="s">
        <v>2641</v>
      </c>
      <c r="C2206" s="19">
        <v>11510195700424</v>
      </c>
      <c r="D2206" s="20">
        <f>9737047.96/1000</f>
        <v>9737.0479600000017</v>
      </c>
      <c r="E2206" s="20"/>
    </row>
    <row r="2207" spans="1:5">
      <c r="A2207" s="41">
        <v>5</v>
      </c>
      <c r="B2207" s="18" t="s">
        <v>1551</v>
      </c>
      <c r="C2207" s="19">
        <v>21102199301604</v>
      </c>
      <c r="D2207" s="20">
        <f>7790160/1000</f>
        <v>7790.16</v>
      </c>
      <c r="E2207" s="20"/>
    </row>
    <row r="2208" spans="1:5">
      <c r="A2208" s="41">
        <v>6</v>
      </c>
      <c r="B2208" s="18" t="s">
        <v>1795</v>
      </c>
      <c r="C2208" s="19">
        <v>2005197410015</v>
      </c>
      <c r="D2208" s="20">
        <f>3151225.25/1000</f>
        <v>3151.22525</v>
      </c>
      <c r="E2208" s="20">
        <v>2903.8</v>
      </c>
    </row>
    <row r="2209" spans="1:5">
      <c r="A2209" s="41">
        <v>7</v>
      </c>
      <c r="B2209" s="18" t="s">
        <v>1870</v>
      </c>
      <c r="C2209" s="19">
        <v>1404199910069</v>
      </c>
      <c r="D2209" s="20">
        <f>605797.63/1000</f>
        <v>605.79763000000003</v>
      </c>
      <c r="E2209" s="20">
        <v>13066.8</v>
      </c>
    </row>
    <row r="2210" spans="1:5">
      <c r="A2210" s="41">
        <v>8</v>
      </c>
      <c r="B2210" s="18" t="s">
        <v>1871</v>
      </c>
      <c r="C2210" s="19">
        <v>106196310013</v>
      </c>
      <c r="D2210" s="20">
        <f>3076370.4/1000</f>
        <v>3076.3703999999998</v>
      </c>
      <c r="E2210" s="20"/>
    </row>
    <row r="2211" spans="1:5" ht="31.5">
      <c r="A2211" s="41">
        <v>9</v>
      </c>
      <c r="B2211" s="18" t="s">
        <v>2407</v>
      </c>
      <c r="C2211" s="19">
        <v>40206201710070</v>
      </c>
      <c r="D2211" s="20">
        <f>2567945.4/1000</f>
        <v>2567.9454000000001</v>
      </c>
      <c r="E2211" s="20">
        <v>7612.2</v>
      </c>
    </row>
    <row r="2212" spans="1:5">
      <c r="A2212" s="41">
        <v>10</v>
      </c>
      <c r="B2212" s="18" t="s">
        <v>75</v>
      </c>
      <c r="C2212" s="19">
        <v>12109196200506</v>
      </c>
      <c r="D2212" s="20">
        <f>2562510.33/1000</f>
        <v>2562.5103300000001</v>
      </c>
      <c r="E2212" s="20"/>
    </row>
    <row r="2213" spans="1:5">
      <c r="A2213" s="41">
        <v>11</v>
      </c>
      <c r="B2213" s="18" t="s">
        <v>1988</v>
      </c>
      <c r="C2213" s="19">
        <v>609199910011</v>
      </c>
      <c r="D2213" s="20">
        <f>2442630.73/1000</f>
        <v>2442.6307299999999</v>
      </c>
      <c r="E2213" s="20"/>
    </row>
    <row r="2214" spans="1:5">
      <c r="A2214" s="41">
        <v>12</v>
      </c>
      <c r="B2214" s="18" t="s">
        <v>1087</v>
      </c>
      <c r="C2214" s="19">
        <v>22104197901243</v>
      </c>
      <c r="D2214" s="20">
        <f>2342350/1000</f>
        <v>2342.35</v>
      </c>
      <c r="E2214" s="20"/>
    </row>
    <row r="2215" spans="1:5">
      <c r="A2215" s="41">
        <v>13</v>
      </c>
      <c r="B2215" s="18" t="s">
        <v>1793</v>
      </c>
      <c r="C2215" s="19">
        <v>305201710212</v>
      </c>
      <c r="D2215" s="20">
        <f>2323886.35/1000</f>
        <v>2323.8863500000002</v>
      </c>
      <c r="E2215" s="20"/>
    </row>
    <row r="2216" spans="1:5">
      <c r="A2216" s="41">
        <v>14</v>
      </c>
      <c r="B2216" s="18" t="s">
        <v>77</v>
      </c>
      <c r="C2216" s="19">
        <v>22503199601542</v>
      </c>
      <c r="D2216" s="20">
        <f>2103033/1000</f>
        <v>2103.0329999999999</v>
      </c>
      <c r="E2216" s="20"/>
    </row>
    <row r="2217" spans="1:5">
      <c r="A2217" s="41">
        <v>15</v>
      </c>
      <c r="B2217" s="18" t="s">
        <v>1794</v>
      </c>
      <c r="C2217" s="19">
        <v>2212199910057</v>
      </c>
      <c r="D2217" s="20">
        <f>2028406.09/1000</f>
        <v>2028.4060900000002</v>
      </c>
      <c r="E2217" s="20"/>
    </row>
    <row r="2218" spans="1:5">
      <c r="A2218" s="41">
        <v>16</v>
      </c>
      <c r="B2218" s="18" t="s">
        <v>2369</v>
      </c>
      <c r="C2218" s="19">
        <v>2803200210075</v>
      </c>
      <c r="D2218" s="20">
        <f>1855802.07/1000</f>
        <v>1855.80207</v>
      </c>
      <c r="E2218" s="20"/>
    </row>
    <row r="2219" spans="1:5">
      <c r="A2219" s="41">
        <v>17</v>
      </c>
      <c r="B2219" s="18" t="s">
        <v>1086</v>
      </c>
      <c r="C2219" s="19">
        <v>2411200410088</v>
      </c>
      <c r="D2219" s="20">
        <f>1662828/1000</f>
        <v>1662.828</v>
      </c>
      <c r="E2219" s="20"/>
    </row>
    <row r="2220" spans="1:5">
      <c r="A2220" s="41">
        <v>18</v>
      </c>
      <c r="B2220" s="18" t="s">
        <v>2642</v>
      </c>
      <c r="C2220" s="19">
        <v>22802197710035</v>
      </c>
      <c r="D2220" s="20">
        <f>1602470.05/1000</f>
        <v>1602.4700500000001</v>
      </c>
      <c r="E2220" s="20"/>
    </row>
    <row r="2221" spans="1:5">
      <c r="A2221" s="41">
        <v>19</v>
      </c>
      <c r="B2221" s="18" t="s">
        <v>50</v>
      </c>
      <c r="C2221" s="19">
        <v>1303201710141</v>
      </c>
      <c r="D2221" s="20">
        <f>3679319.94/1000</f>
        <v>3679.3199399999999</v>
      </c>
      <c r="E2221" s="20"/>
    </row>
    <row r="2222" spans="1:5">
      <c r="A2222" s="41">
        <v>20</v>
      </c>
      <c r="B2222" s="18" t="s">
        <v>911</v>
      </c>
      <c r="C2222" s="19">
        <v>2104200410084</v>
      </c>
      <c r="D2222" s="20">
        <f>1375123.96/1000</f>
        <v>1375.1239599999999</v>
      </c>
      <c r="E2222" s="20"/>
    </row>
    <row r="2223" spans="1:5">
      <c r="A2223" s="41">
        <v>21</v>
      </c>
      <c r="B2223" s="18" t="s">
        <v>535</v>
      </c>
      <c r="C2223" s="19">
        <v>20804197001031</v>
      </c>
      <c r="D2223" s="20">
        <f>1365187.89/1000</f>
        <v>1365.1878899999999</v>
      </c>
      <c r="E2223" s="20"/>
    </row>
    <row r="2224" spans="1:5">
      <c r="A2224" s="41">
        <v>22</v>
      </c>
      <c r="B2224" s="18" t="s">
        <v>78</v>
      </c>
      <c r="C2224" s="19">
        <v>11102199101430</v>
      </c>
      <c r="D2224" s="20">
        <f>1249222/1000</f>
        <v>1249.222</v>
      </c>
      <c r="E2224" s="20"/>
    </row>
    <row r="2225" spans="1:5">
      <c r="A2225" s="41">
        <v>23</v>
      </c>
      <c r="B2225" s="18" t="s">
        <v>2371</v>
      </c>
      <c r="C2225" s="19">
        <v>2508196110010</v>
      </c>
      <c r="D2225" s="20">
        <f>1195477.82/1000</f>
        <v>1195.4778200000001</v>
      </c>
      <c r="E2225" s="20">
        <v>609</v>
      </c>
    </row>
    <row r="2226" spans="1:5">
      <c r="A2226" s="41">
        <v>24</v>
      </c>
      <c r="B2226" s="18" t="s">
        <v>1548</v>
      </c>
      <c r="C2226" s="19">
        <v>21906196100428</v>
      </c>
      <c r="D2226" s="20">
        <f>1004520/1000</f>
        <v>1004.52</v>
      </c>
      <c r="E2226" s="20"/>
    </row>
    <row r="2227" spans="1:5">
      <c r="A2227" s="41">
        <v>25</v>
      </c>
      <c r="B2227" s="18" t="s">
        <v>80</v>
      </c>
      <c r="C2227" s="19">
        <v>1010201910213</v>
      </c>
      <c r="D2227" s="20">
        <f>951638.62/1000</f>
        <v>951.63861999999995</v>
      </c>
      <c r="E2227" s="20">
        <v>1222.8</v>
      </c>
    </row>
    <row r="2228" spans="1:5">
      <c r="A2228" s="41">
        <v>26</v>
      </c>
      <c r="B2228" s="18" t="s">
        <v>79</v>
      </c>
      <c r="C2228" s="19">
        <v>12012196610028</v>
      </c>
      <c r="D2228" s="20">
        <f>845360/1000</f>
        <v>845.36</v>
      </c>
      <c r="E2228" s="20"/>
    </row>
    <row r="2229" spans="1:5">
      <c r="A2229" s="41">
        <v>27</v>
      </c>
      <c r="B2229" s="18" t="s">
        <v>1549</v>
      </c>
      <c r="C2229" s="19">
        <v>21609196200509</v>
      </c>
      <c r="D2229" s="20">
        <f>696828/1000</f>
        <v>696.82799999999997</v>
      </c>
      <c r="E2229" s="20"/>
    </row>
    <row r="2230" spans="1:5">
      <c r="A2230" s="41">
        <v>28</v>
      </c>
      <c r="B2230" s="18" t="s">
        <v>1550</v>
      </c>
      <c r="C2230" s="19">
        <v>311202010042</v>
      </c>
      <c r="D2230" s="20">
        <f>697659.13/1000</f>
        <v>697.65913</v>
      </c>
      <c r="E2230" s="20"/>
    </row>
    <row r="2231" spans="1:5">
      <c r="A2231" s="41">
        <v>29</v>
      </c>
      <c r="B2231" s="18" t="s">
        <v>2643</v>
      </c>
      <c r="C2231" s="19">
        <v>21906197400380</v>
      </c>
      <c r="D2231" s="20">
        <f>643886.4/1000</f>
        <v>643.88639999999998</v>
      </c>
      <c r="E2231" s="20"/>
    </row>
    <row r="2232" spans="1:5">
      <c r="A2232" s="41">
        <v>30</v>
      </c>
      <c r="B2232" s="18" t="s">
        <v>2644</v>
      </c>
      <c r="C2232" s="19">
        <v>10709196400238</v>
      </c>
      <c r="D2232" s="20">
        <f>579638.4/1000</f>
        <v>579.63840000000005</v>
      </c>
      <c r="E2232" s="20"/>
    </row>
    <row r="2233" spans="1:5">
      <c r="A2233" s="41">
        <v>31</v>
      </c>
      <c r="B2233" s="18" t="s">
        <v>1552</v>
      </c>
      <c r="C2233" s="19">
        <v>103196510016</v>
      </c>
      <c r="D2233" s="20">
        <f>586989.23/1000</f>
        <v>586.98923000000002</v>
      </c>
      <c r="E2233" s="20">
        <v>931.5</v>
      </c>
    </row>
    <row r="2234" spans="1:5">
      <c r="A2234" s="41">
        <v>32</v>
      </c>
      <c r="B2234" s="18" t="s">
        <v>1932</v>
      </c>
      <c r="C2234" s="19">
        <v>41506201610031</v>
      </c>
      <c r="D2234" s="20">
        <f>601542.67/1000</f>
        <v>601.54267000000004</v>
      </c>
      <c r="E2234" s="20"/>
    </row>
    <row r="2235" spans="1:5">
      <c r="A2235" s="41">
        <v>33</v>
      </c>
      <c r="B2235" s="18" t="s">
        <v>81</v>
      </c>
      <c r="C2235" s="19">
        <v>10912197600567</v>
      </c>
      <c r="D2235" s="20">
        <f>568092/1000</f>
        <v>568.09199999999998</v>
      </c>
      <c r="E2235" s="20"/>
    </row>
    <row r="2236" spans="1:5">
      <c r="A2236" s="41">
        <v>34</v>
      </c>
      <c r="B2236" s="18" t="s">
        <v>2370</v>
      </c>
      <c r="C2236" s="19">
        <v>1707200610104</v>
      </c>
      <c r="D2236" s="20">
        <f>536026/1000</f>
        <v>536.02599999999995</v>
      </c>
      <c r="E2236" s="20"/>
    </row>
    <row r="2237" spans="1:5">
      <c r="A2237" s="41">
        <v>35</v>
      </c>
      <c r="B2237" s="18" t="s">
        <v>82</v>
      </c>
      <c r="C2237" s="19">
        <v>3101199610040</v>
      </c>
      <c r="D2237" s="20">
        <f>507887.17/1000</f>
        <v>507.88716999999997</v>
      </c>
      <c r="E2237" s="20"/>
    </row>
    <row r="2238" spans="1:5">
      <c r="A2238" s="41">
        <v>36</v>
      </c>
      <c r="B2238" s="18" t="s">
        <v>2645</v>
      </c>
      <c r="C2238" s="19">
        <v>603200910188</v>
      </c>
      <c r="D2238" s="20">
        <f>592055.84/1000</f>
        <v>592.05583999999999</v>
      </c>
      <c r="E2238" s="20"/>
    </row>
    <row r="2239" spans="1:5">
      <c r="A2239" s="41">
        <v>37</v>
      </c>
      <c r="B2239" s="18" t="s">
        <v>1791</v>
      </c>
      <c r="C2239" s="19" t="s">
        <v>1617</v>
      </c>
      <c r="D2239" s="20"/>
      <c r="E2239" s="20">
        <v>5576.9146799999999</v>
      </c>
    </row>
    <row r="2240" spans="1:5">
      <c r="A2240" s="41">
        <v>38</v>
      </c>
      <c r="B2240" s="18" t="s">
        <v>1875</v>
      </c>
      <c r="C2240" s="19" t="s">
        <v>1618</v>
      </c>
      <c r="D2240" s="20"/>
      <c r="E2240" s="20">
        <v>2211.53845</v>
      </c>
    </row>
    <row r="2241" spans="1:5" ht="31.5">
      <c r="A2241" s="41">
        <v>39</v>
      </c>
      <c r="B2241" s="18" t="s">
        <v>1874</v>
      </c>
      <c r="C2241" s="19" t="s">
        <v>2372</v>
      </c>
      <c r="D2241" s="20"/>
      <c r="E2241" s="20">
        <v>1722.4529300000002</v>
      </c>
    </row>
    <row r="2242" spans="1:5">
      <c r="A2242" s="41">
        <v>40</v>
      </c>
      <c r="B2242" s="18" t="s">
        <v>1872</v>
      </c>
      <c r="C2242" s="19" t="s">
        <v>2373</v>
      </c>
      <c r="D2242" s="20"/>
      <c r="E2242" s="20">
        <v>1284.2675200000001</v>
      </c>
    </row>
    <row r="2243" spans="1:5">
      <c r="A2243" s="41">
        <v>41</v>
      </c>
      <c r="B2243" s="18" t="s">
        <v>1873</v>
      </c>
      <c r="C2243" s="19" t="s">
        <v>2374</v>
      </c>
      <c r="D2243" s="20"/>
      <c r="E2243" s="20">
        <v>871.76596999999992</v>
      </c>
    </row>
    <row r="2244" spans="1:5">
      <c r="A2244" s="41">
        <v>42</v>
      </c>
      <c r="B2244" s="18" t="s">
        <v>1929</v>
      </c>
      <c r="C2244" s="19" t="s">
        <v>1620</v>
      </c>
      <c r="D2244" s="20"/>
      <c r="E2244" s="20">
        <v>824.22103000000004</v>
      </c>
    </row>
    <row r="2245" spans="1:5">
      <c r="A2245" s="41">
        <v>43</v>
      </c>
      <c r="B2245" s="18" t="s">
        <v>2646</v>
      </c>
      <c r="C2245" s="19" t="s">
        <v>1619</v>
      </c>
      <c r="D2245" s="20"/>
      <c r="E2245" s="20">
        <v>631.65456000000006</v>
      </c>
    </row>
    <row r="2246" spans="1:5" s="16" customFormat="1">
      <c r="A2246" s="17"/>
      <c r="B2246" s="25" t="s">
        <v>2</v>
      </c>
      <c r="C2246" s="27"/>
      <c r="D2246" s="35">
        <f>SUM(D2203:D2245)</f>
        <v>143123.46446000002</v>
      </c>
      <c r="E2246" s="35">
        <f>SUM(E2203:E2245)</f>
        <v>46619.715140000008</v>
      </c>
    </row>
    <row r="2247" spans="1:5">
      <c r="A2247" s="53" t="s">
        <v>16</v>
      </c>
      <c r="B2247" s="53"/>
      <c r="C2247" s="53"/>
      <c r="D2247" s="53"/>
      <c r="E2247" s="53"/>
    </row>
    <row r="2248" spans="1:5">
      <c r="A2248" s="17">
        <v>1</v>
      </c>
      <c r="B2248" s="18" t="s">
        <v>84</v>
      </c>
      <c r="C2248" s="19">
        <v>12710198901593</v>
      </c>
      <c r="D2248" s="20">
        <f>16319892.04/1000</f>
        <v>16319.892039999999</v>
      </c>
      <c r="E2248" s="20"/>
    </row>
    <row r="2249" spans="1:5">
      <c r="A2249" s="17">
        <v>2</v>
      </c>
      <c r="B2249" s="18" t="s">
        <v>85</v>
      </c>
      <c r="C2249" s="19" t="s">
        <v>2602</v>
      </c>
      <c r="D2249" s="20">
        <f>5342324.37/1000</f>
        <v>5342.3243700000003</v>
      </c>
      <c r="E2249" s="20"/>
    </row>
    <row r="2250" spans="1:5">
      <c r="A2250" s="17">
        <v>3</v>
      </c>
      <c r="B2250" s="18" t="s">
        <v>775</v>
      </c>
      <c r="C2250" s="19" t="s">
        <v>2603</v>
      </c>
      <c r="D2250" s="20">
        <f>3942061.73/1000</f>
        <v>3942.0617299999999</v>
      </c>
      <c r="E2250" s="20"/>
    </row>
    <row r="2251" spans="1:5">
      <c r="A2251" s="17">
        <v>4</v>
      </c>
      <c r="B2251" s="18" t="s">
        <v>1043</v>
      </c>
      <c r="C2251" s="19">
        <v>23101199201124</v>
      </c>
      <c r="D2251" s="20">
        <f>3774425.58/1000</f>
        <v>3774.4255800000001</v>
      </c>
      <c r="E2251" s="20"/>
    </row>
    <row r="2252" spans="1:5">
      <c r="A2252" s="17">
        <v>5</v>
      </c>
      <c r="B2252" s="18" t="s">
        <v>2326</v>
      </c>
      <c r="C2252" s="19" t="s">
        <v>2604</v>
      </c>
      <c r="D2252" s="20">
        <f>2772480.82/1000</f>
        <v>2772.4808199999998</v>
      </c>
      <c r="E2252" s="20"/>
    </row>
    <row r="2253" spans="1:5">
      <c r="A2253" s="17">
        <v>6</v>
      </c>
      <c r="B2253" s="18" t="s">
        <v>1986</v>
      </c>
      <c r="C2253" s="19" t="s">
        <v>2605</v>
      </c>
      <c r="D2253" s="20">
        <f>2527469.73/1000</f>
        <v>2527.4697299999998</v>
      </c>
      <c r="E2253" s="20"/>
    </row>
    <row r="2254" spans="1:5">
      <c r="A2254" s="17">
        <v>7</v>
      </c>
      <c r="B2254" s="18" t="s">
        <v>968</v>
      </c>
      <c r="C2254" s="19" t="s">
        <v>2606</v>
      </c>
      <c r="D2254" s="20">
        <f>1406881/1000</f>
        <v>1406.8810000000001</v>
      </c>
      <c r="E2254" s="20"/>
    </row>
    <row r="2255" spans="1:5">
      <c r="A2255" s="17">
        <v>8</v>
      </c>
      <c r="B2255" s="18" t="s">
        <v>86</v>
      </c>
      <c r="C2255" s="19" t="s">
        <v>2607</v>
      </c>
      <c r="D2255" s="20">
        <f>1333867.1/1000</f>
        <v>1333.8671000000002</v>
      </c>
      <c r="E2255" s="20"/>
    </row>
    <row r="2256" spans="1:5">
      <c r="A2256" s="17">
        <v>9</v>
      </c>
      <c r="B2256" s="18" t="s">
        <v>1042</v>
      </c>
      <c r="C2256" s="19">
        <v>21711199700602</v>
      </c>
      <c r="D2256" s="20">
        <f>1301077.69/1000</f>
        <v>1301.0776899999998</v>
      </c>
      <c r="E2256" s="20"/>
    </row>
    <row r="2257" spans="1:5">
      <c r="A2257" s="17">
        <v>10</v>
      </c>
      <c r="B2257" s="18" t="s">
        <v>1987</v>
      </c>
      <c r="C2257" s="19">
        <v>22509196900263</v>
      </c>
      <c r="D2257" s="20">
        <f>1255600/1000</f>
        <v>1255.5999999999999</v>
      </c>
      <c r="E2257" s="20"/>
    </row>
    <row r="2258" spans="1:5">
      <c r="A2258" s="17">
        <v>11</v>
      </c>
      <c r="B2258" s="18" t="s">
        <v>2327</v>
      </c>
      <c r="C2258" s="19" t="s">
        <v>2608</v>
      </c>
      <c r="D2258" s="20">
        <f>1152623.83/1000</f>
        <v>1152.62383</v>
      </c>
      <c r="E2258" s="20"/>
    </row>
    <row r="2259" spans="1:5">
      <c r="A2259" s="17">
        <v>12</v>
      </c>
      <c r="B2259" s="18" t="s">
        <v>87</v>
      </c>
      <c r="C2259" s="19">
        <v>20405198500045</v>
      </c>
      <c r="D2259" s="20">
        <f>1090320/1000</f>
        <v>1090.32</v>
      </c>
      <c r="E2259" s="20"/>
    </row>
    <row r="2260" spans="1:5">
      <c r="A2260" s="17">
        <v>13</v>
      </c>
      <c r="B2260" s="18" t="s">
        <v>88</v>
      </c>
      <c r="C2260" s="19">
        <v>20102198901414</v>
      </c>
      <c r="D2260" s="20">
        <f>931520/1000</f>
        <v>931.52</v>
      </c>
      <c r="E2260" s="20"/>
    </row>
    <row r="2261" spans="1:5">
      <c r="A2261" s="17">
        <v>14</v>
      </c>
      <c r="B2261" s="18" t="s">
        <v>1897</v>
      </c>
      <c r="C2261" s="19">
        <v>20403198901126</v>
      </c>
      <c r="D2261" s="20">
        <f>854386.84/1000</f>
        <v>854.38684000000001</v>
      </c>
      <c r="E2261" s="20"/>
    </row>
    <row r="2262" spans="1:5" ht="31.5">
      <c r="A2262" s="17">
        <v>15</v>
      </c>
      <c r="B2262" s="18" t="s">
        <v>2328</v>
      </c>
      <c r="C2262" s="19" t="s">
        <v>2609</v>
      </c>
      <c r="D2262" s="20">
        <f>844589.73/1000</f>
        <v>844.58973000000003</v>
      </c>
      <c r="E2262" s="20"/>
    </row>
    <row r="2263" spans="1:5">
      <c r="A2263" s="17">
        <v>16</v>
      </c>
      <c r="B2263" s="18" t="s">
        <v>2329</v>
      </c>
      <c r="C2263" s="19" t="s">
        <v>2610</v>
      </c>
      <c r="D2263" s="20">
        <f>785283.29/1000</f>
        <v>785.28329000000008</v>
      </c>
      <c r="E2263" s="20"/>
    </row>
    <row r="2264" spans="1:5">
      <c r="A2264" s="17">
        <v>17</v>
      </c>
      <c r="B2264" s="18" t="s">
        <v>2325</v>
      </c>
      <c r="C2264" s="19" t="s">
        <v>2611</v>
      </c>
      <c r="D2264" s="20">
        <f>734763.5/1000</f>
        <v>734.76350000000002</v>
      </c>
      <c r="E2264" s="20"/>
    </row>
    <row r="2265" spans="1:5">
      <c r="A2265" s="17">
        <v>18</v>
      </c>
      <c r="B2265" s="18" t="s">
        <v>1044</v>
      </c>
      <c r="C2265" s="19" t="s">
        <v>2612</v>
      </c>
      <c r="D2265" s="20">
        <f>642289.24/1000</f>
        <v>642.28923999999995</v>
      </c>
      <c r="E2265" s="20"/>
    </row>
    <row r="2266" spans="1:5">
      <c r="A2266" s="17">
        <v>19</v>
      </c>
      <c r="B2266" s="18" t="s">
        <v>2614</v>
      </c>
      <c r="C2266" s="19" t="s">
        <v>2613</v>
      </c>
      <c r="D2266" s="20">
        <f>570142.3/1000</f>
        <v>570.14230000000009</v>
      </c>
      <c r="E2266" s="20"/>
    </row>
    <row r="2267" spans="1:5">
      <c r="A2267" s="17">
        <v>20</v>
      </c>
      <c r="B2267" s="18" t="s">
        <v>89</v>
      </c>
      <c r="C2267" s="19">
        <v>20304196401045</v>
      </c>
      <c r="D2267" s="20">
        <f>569846.36/1000</f>
        <v>569.84636</v>
      </c>
      <c r="E2267" s="20"/>
    </row>
    <row r="2268" spans="1:5">
      <c r="A2268" s="17">
        <v>21</v>
      </c>
      <c r="B2268" s="18" t="s">
        <v>2616</v>
      </c>
      <c r="C2268" s="19" t="s">
        <v>1796</v>
      </c>
      <c r="D2268" s="20"/>
      <c r="E2268" s="20">
        <v>1703.6351300000001</v>
      </c>
    </row>
    <row r="2269" spans="1:5">
      <c r="A2269" s="17">
        <v>22</v>
      </c>
      <c r="B2269" s="18" t="s">
        <v>2615</v>
      </c>
      <c r="C2269" s="19" t="s">
        <v>1615</v>
      </c>
      <c r="D2269" s="20"/>
      <c r="E2269" s="20">
        <v>819.31766999999991</v>
      </c>
    </row>
    <row r="2270" spans="1:5">
      <c r="A2270" s="34"/>
      <c r="B2270" s="25" t="s">
        <v>2</v>
      </c>
      <c r="C2270" s="34"/>
      <c r="D2270" s="35">
        <f>SUM(D2248:D2269)</f>
        <v>48151.845149999994</v>
      </c>
      <c r="E2270" s="35">
        <f>SUM(E2248:E2269)</f>
        <v>2522.9528</v>
      </c>
    </row>
    <row r="2271" spans="1:5">
      <c r="A2271" s="4" t="s">
        <v>35</v>
      </c>
      <c r="B2271" s="4"/>
      <c r="C2271" s="4"/>
      <c r="D2271" s="4"/>
      <c r="E2271" s="4"/>
    </row>
    <row r="2272" spans="1:5">
      <c r="A2272" s="17">
        <v>1</v>
      </c>
      <c r="B2272" s="18" t="s">
        <v>60</v>
      </c>
      <c r="C2272" s="19">
        <v>21507197100733</v>
      </c>
      <c r="D2272" s="42">
        <f>37863280.58/1000</f>
        <v>37863.280579999999</v>
      </c>
      <c r="E2272" s="20"/>
    </row>
    <row r="2273" spans="1:5">
      <c r="A2273" s="17">
        <v>2</v>
      </c>
      <c r="B2273" s="18" t="s">
        <v>647</v>
      </c>
      <c r="C2273" s="19">
        <v>22609199300524</v>
      </c>
      <c r="D2273" s="42">
        <f>29778450/1000</f>
        <v>29778.45</v>
      </c>
      <c r="E2273" s="20"/>
    </row>
    <row r="2274" spans="1:5">
      <c r="A2274" s="17">
        <v>3</v>
      </c>
      <c r="B2274" s="18" t="s">
        <v>59</v>
      </c>
      <c r="C2274" s="19">
        <v>21703195500602</v>
      </c>
      <c r="D2274" s="42">
        <f>5452975.13/1000</f>
        <v>5452.9751299999998</v>
      </c>
      <c r="E2274" s="20"/>
    </row>
    <row r="2275" spans="1:5">
      <c r="A2275" s="17">
        <v>4</v>
      </c>
      <c r="B2275" s="18" t="s">
        <v>1558</v>
      </c>
      <c r="C2275" s="19" t="s">
        <v>2617</v>
      </c>
      <c r="D2275" s="42">
        <f>4581247.02/1000</f>
        <v>4581.2470199999998</v>
      </c>
      <c r="E2275" s="20"/>
    </row>
    <row r="2276" spans="1:5">
      <c r="A2276" s="17">
        <v>5</v>
      </c>
      <c r="B2276" s="18" t="s">
        <v>1112</v>
      </c>
      <c r="C2276" s="19" t="s">
        <v>2618</v>
      </c>
      <c r="D2276" s="42">
        <f>2715054.38/1000</f>
        <v>2715.05438</v>
      </c>
      <c r="E2276" s="20"/>
    </row>
    <row r="2277" spans="1:5">
      <c r="A2277" s="17">
        <v>6</v>
      </c>
      <c r="B2277" s="18" t="s">
        <v>910</v>
      </c>
      <c r="C2277" s="19">
        <v>20908199200247</v>
      </c>
      <c r="D2277" s="42">
        <f>2127376/1000</f>
        <v>2127.3760000000002</v>
      </c>
      <c r="E2277" s="20"/>
    </row>
    <row r="2278" spans="1:5">
      <c r="A2278" s="17">
        <v>7</v>
      </c>
      <c r="B2278" s="18" t="s">
        <v>1041</v>
      </c>
      <c r="C2278" s="19">
        <v>11605197600345</v>
      </c>
      <c r="D2278" s="42">
        <f>1630759.69/1000</f>
        <v>1630.7596899999999</v>
      </c>
      <c r="E2278" s="20"/>
    </row>
    <row r="2279" spans="1:5">
      <c r="A2279" s="17">
        <v>8</v>
      </c>
      <c r="B2279" s="18" t="s">
        <v>2324</v>
      </c>
      <c r="C2279" s="19">
        <v>21007199000065</v>
      </c>
      <c r="D2279" s="42">
        <f>1604000.78/1000</f>
        <v>1604.0007800000001</v>
      </c>
      <c r="E2279" s="20"/>
    </row>
    <row r="2280" spans="1:5">
      <c r="A2280" s="17">
        <v>9</v>
      </c>
      <c r="B2280" s="18" t="s">
        <v>1113</v>
      </c>
      <c r="C2280" s="19" t="s">
        <v>2619</v>
      </c>
      <c r="D2280" s="42">
        <f>1110464.09/1000</f>
        <v>1110.4640900000002</v>
      </c>
      <c r="E2280" s="20"/>
    </row>
    <row r="2281" spans="1:5">
      <c r="A2281" s="17">
        <v>10</v>
      </c>
      <c r="B2281" s="18" t="s">
        <v>1040</v>
      </c>
      <c r="C2281" s="19">
        <v>22701200100426</v>
      </c>
      <c r="D2281" s="42">
        <f>783737.19/1000</f>
        <v>783.73718999999994</v>
      </c>
      <c r="E2281" s="20"/>
    </row>
    <row r="2282" spans="1:5">
      <c r="A2282" s="17">
        <v>11</v>
      </c>
      <c r="B2282" s="18" t="s">
        <v>528</v>
      </c>
      <c r="C2282" s="19">
        <v>20711198901902</v>
      </c>
      <c r="D2282" s="42">
        <f>777184.93/1000</f>
        <v>777.18493000000001</v>
      </c>
      <c r="E2282" s="20"/>
    </row>
    <row r="2283" spans="1:5">
      <c r="A2283" s="17">
        <v>12</v>
      </c>
      <c r="B2283" s="18" t="s">
        <v>1111</v>
      </c>
      <c r="C2283" s="19">
        <v>20204199101884</v>
      </c>
      <c r="D2283" s="42">
        <f>5089404.03/1000</f>
        <v>5089.4040300000006</v>
      </c>
      <c r="E2283" s="20"/>
    </row>
    <row r="2284" spans="1:5">
      <c r="A2284" s="17">
        <v>13</v>
      </c>
      <c r="B2284" s="18" t="s">
        <v>61</v>
      </c>
      <c r="C2284" s="19" t="s">
        <v>2620</v>
      </c>
      <c r="D2284" s="42">
        <f>621400.26/1000</f>
        <v>621.40026</v>
      </c>
      <c r="E2284" s="20"/>
    </row>
    <row r="2285" spans="1:5">
      <c r="A2285" s="17">
        <v>14</v>
      </c>
      <c r="B2285" s="18" t="s">
        <v>985</v>
      </c>
      <c r="C2285" s="19" t="s">
        <v>1898</v>
      </c>
      <c r="D2285" s="42"/>
      <c r="E2285" s="20">
        <v>970.54075</v>
      </c>
    </row>
    <row r="2286" spans="1:5">
      <c r="A2286" s="17">
        <v>15</v>
      </c>
      <c r="B2286" s="18" t="s">
        <v>2622</v>
      </c>
      <c r="C2286" s="19" t="s">
        <v>2621</v>
      </c>
      <c r="D2286" s="42"/>
      <c r="E2286" s="20">
        <v>500.57158000000004</v>
      </c>
    </row>
    <row r="2287" spans="1:5">
      <c r="A2287" s="17"/>
      <c r="B2287" s="25" t="s">
        <v>2</v>
      </c>
      <c r="C2287" s="34" t="s">
        <v>4</v>
      </c>
      <c r="D2287" s="43">
        <f>SUM(D2272:D2286)</f>
        <v>94135.334080000015</v>
      </c>
      <c r="E2287" s="43">
        <f>SUM(E2272:E2286)</f>
        <v>1471.1123299999999</v>
      </c>
    </row>
    <row r="2288" spans="1:5" s="16" customFormat="1">
      <c r="A2288" s="4" t="s">
        <v>43</v>
      </c>
      <c r="B2288" s="4"/>
      <c r="C2288" s="4"/>
      <c r="D2288" s="4"/>
      <c r="E2288" s="4"/>
    </row>
    <row r="2289" spans="1:5">
      <c r="A2289" s="17">
        <v>1</v>
      </c>
      <c r="B2289" s="18" t="s">
        <v>784</v>
      </c>
      <c r="C2289" s="19">
        <v>20610198750018</v>
      </c>
      <c r="D2289" s="42">
        <f>27934172.5/1000</f>
        <v>27934.172500000001</v>
      </c>
      <c r="E2289" s="20"/>
    </row>
    <row r="2290" spans="1:5">
      <c r="A2290" s="17">
        <v>2</v>
      </c>
      <c r="B2290" s="18" t="s">
        <v>2624</v>
      </c>
      <c r="C2290" s="19" t="s">
        <v>2623</v>
      </c>
      <c r="D2290" s="42">
        <f>872724.19/1000</f>
        <v>872.72418999999991</v>
      </c>
      <c r="E2290" s="20"/>
    </row>
    <row r="2291" spans="1:5" s="16" customFormat="1">
      <c r="A2291" s="17"/>
      <c r="B2291" s="25" t="s">
        <v>2</v>
      </c>
      <c r="C2291" s="27"/>
      <c r="D2291" s="43">
        <f>SUM(D2289:D2290)</f>
        <v>28806.896690000001</v>
      </c>
      <c r="E2291" s="43">
        <f>SUM(E2289:E2290)</f>
        <v>0</v>
      </c>
    </row>
    <row r="2292" spans="1:5" s="16" customFormat="1">
      <c r="A2292" s="4" t="s">
        <v>1067</v>
      </c>
      <c r="B2292" s="4"/>
      <c r="C2292" s="4"/>
      <c r="D2292" s="4"/>
      <c r="E2292" s="4"/>
    </row>
    <row r="2293" spans="1:5" s="16" customFormat="1">
      <c r="A2293" s="17">
        <v>1</v>
      </c>
      <c r="B2293" s="18" t="s">
        <v>1559</v>
      </c>
      <c r="C2293" s="19">
        <v>22801199500239</v>
      </c>
      <c r="D2293" s="42">
        <f>7504466.57/1000</f>
        <v>7504.4665700000005</v>
      </c>
      <c r="E2293" s="42"/>
    </row>
    <row r="2294" spans="1:5" s="16" customFormat="1">
      <c r="A2294" s="17">
        <v>2</v>
      </c>
      <c r="B2294" s="18" t="s">
        <v>417</v>
      </c>
      <c r="C2294" s="19">
        <v>12008195801435</v>
      </c>
      <c r="D2294" s="42">
        <f>7201486/1000</f>
        <v>7201.4859999999999</v>
      </c>
      <c r="E2294" s="42"/>
    </row>
    <row r="2295" spans="1:5" s="16" customFormat="1">
      <c r="A2295" s="17">
        <v>3</v>
      </c>
      <c r="B2295" s="18" t="s">
        <v>419</v>
      </c>
      <c r="C2295" s="19">
        <v>20711198601452</v>
      </c>
      <c r="D2295" s="42">
        <f>6692074/1000</f>
        <v>6692.0739999999996</v>
      </c>
      <c r="E2295" s="42"/>
    </row>
    <row r="2296" spans="1:5" s="16" customFormat="1">
      <c r="A2296" s="17">
        <v>4</v>
      </c>
      <c r="B2296" s="18" t="s">
        <v>420</v>
      </c>
      <c r="C2296" s="19">
        <v>21007198701494</v>
      </c>
      <c r="D2296" s="42">
        <f>5976284/1000</f>
        <v>5976.2839999999997</v>
      </c>
      <c r="E2296" s="42"/>
    </row>
    <row r="2297" spans="1:5" s="16" customFormat="1">
      <c r="A2297" s="17">
        <v>5</v>
      </c>
      <c r="B2297" s="18" t="s">
        <v>416</v>
      </c>
      <c r="C2297" s="19">
        <v>10805198001264</v>
      </c>
      <c r="D2297" s="42">
        <f>3677160/1000</f>
        <v>3677.16</v>
      </c>
      <c r="E2297" s="42"/>
    </row>
    <row r="2298" spans="1:5" s="16" customFormat="1">
      <c r="A2298" s="17">
        <v>6</v>
      </c>
      <c r="B2298" s="18" t="s">
        <v>422</v>
      </c>
      <c r="C2298" s="19">
        <v>21612198100330</v>
      </c>
      <c r="D2298" s="42">
        <f>3307824/1000</f>
        <v>3307.8240000000001</v>
      </c>
      <c r="E2298" s="42"/>
    </row>
    <row r="2299" spans="1:5" s="16" customFormat="1">
      <c r="A2299" s="17">
        <v>7</v>
      </c>
      <c r="B2299" s="18" t="s">
        <v>425</v>
      </c>
      <c r="C2299" s="19">
        <v>22808198100052</v>
      </c>
      <c r="D2299" s="42">
        <f>1457426.86/1000</f>
        <v>1457.42686</v>
      </c>
      <c r="E2299" s="42"/>
    </row>
    <row r="2300" spans="1:5" s="16" customFormat="1">
      <c r="A2300" s="17">
        <v>8</v>
      </c>
      <c r="B2300" s="18" t="s">
        <v>418</v>
      </c>
      <c r="C2300" s="19">
        <v>20709198700489</v>
      </c>
      <c r="D2300" s="42">
        <f>1387090/1000</f>
        <v>1387.09</v>
      </c>
      <c r="E2300" s="42"/>
    </row>
    <row r="2301" spans="1:5" s="16" customFormat="1">
      <c r="A2301" s="17">
        <v>9</v>
      </c>
      <c r="B2301" s="18" t="s">
        <v>1985</v>
      </c>
      <c r="C2301" s="19">
        <v>22108198301477</v>
      </c>
      <c r="D2301" s="42">
        <f>1253820/1000</f>
        <v>1253.82</v>
      </c>
      <c r="E2301" s="42"/>
    </row>
    <row r="2302" spans="1:5" s="16" customFormat="1">
      <c r="A2302" s="17">
        <v>10</v>
      </c>
      <c r="B2302" s="18" t="s">
        <v>2322</v>
      </c>
      <c r="C2302" s="19">
        <v>20708198301379</v>
      </c>
      <c r="D2302" s="42">
        <f>1240750.77/1000</f>
        <v>1240.7507700000001</v>
      </c>
      <c r="E2302" s="42"/>
    </row>
    <row r="2303" spans="1:5" s="16" customFormat="1">
      <c r="A2303" s="17">
        <v>11</v>
      </c>
      <c r="B2303" s="18" t="s">
        <v>1066</v>
      </c>
      <c r="C2303" s="19">
        <v>20105198601045</v>
      </c>
      <c r="D2303" s="42">
        <f>1009977.53/1000</f>
        <v>1009.97753</v>
      </c>
      <c r="E2303" s="42"/>
    </row>
    <row r="2304" spans="1:5" s="16" customFormat="1">
      <c r="A2304" s="17">
        <v>12</v>
      </c>
      <c r="B2304" s="18" t="s">
        <v>415</v>
      </c>
      <c r="C2304" s="19" t="s">
        <v>2625</v>
      </c>
      <c r="D2304" s="42">
        <f>999882.04/1000</f>
        <v>999.88204000000007</v>
      </c>
      <c r="E2304" s="42"/>
    </row>
    <row r="2305" spans="1:5" s="16" customFormat="1">
      <c r="A2305" s="17">
        <v>13</v>
      </c>
      <c r="B2305" s="18" t="s">
        <v>424</v>
      </c>
      <c r="C2305" s="19">
        <v>22702199202046</v>
      </c>
      <c r="D2305" s="42">
        <f>953241.41/1000</f>
        <v>953.24141000000009</v>
      </c>
      <c r="E2305" s="42"/>
    </row>
    <row r="2306" spans="1:5" s="16" customFormat="1">
      <c r="A2306" s="17">
        <v>14</v>
      </c>
      <c r="B2306" s="18" t="s">
        <v>421</v>
      </c>
      <c r="C2306" s="19">
        <v>21012198200129</v>
      </c>
      <c r="D2306" s="42">
        <f>895063.36/1000</f>
        <v>895.06335999999999</v>
      </c>
      <c r="E2306" s="42"/>
    </row>
    <row r="2307" spans="1:5" s="16" customFormat="1">
      <c r="A2307" s="17">
        <v>15</v>
      </c>
      <c r="B2307" s="18" t="s">
        <v>423</v>
      </c>
      <c r="C2307" s="19">
        <v>22506199200390</v>
      </c>
      <c r="D2307" s="42">
        <f>881460/1000</f>
        <v>881.46</v>
      </c>
      <c r="E2307" s="42"/>
    </row>
    <row r="2308" spans="1:5" s="16" customFormat="1">
      <c r="A2308" s="17">
        <v>16</v>
      </c>
      <c r="B2308" s="18" t="s">
        <v>1797</v>
      </c>
      <c r="C2308" s="19" t="s">
        <v>2626</v>
      </c>
      <c r="D2308" s="42">
        <f>849121.67/1000</f>
        <v>849.12166999999999</v>
      </c>
      <c r="E2308" s="42"/>
    </row>
    <row r="2309" spans="1:5" s="16" customFormat="1">
      <c r="A2309" s="17">
        <v>17</v>
      </c>
      <c r="B2309" s="18" t="s">
        <v>2321</v>
      </c>
      <c r="C2309" s="19">
        <v>21605198800124</v>
      </c>
      <c r="D2309" s="42">
        <f>824617.97/1000</f>
        <v>824.61797000000001</v>
      </c>
      <c r="E2309" s="42"/>
    </row>
    <row r="2310" spans="1:5" s="16" customFormat="1">
      <c r="A2310" s="17">
        <v>18</v>
      </c>
      <c r="B2310" s="18" t="s">
        <v>1798</v>
      </c>
      <c r="C2310" s="19">
        <v>12108198501080</v>
      </c>
      <c r="D2310" s="42">
        <f>687523.56/1000</f>
        <v>687.52356000000009</v>
      </c>
      <c r="E2310" s="42"/>
    </row>
    <row r="2311" spans="1:5" s="16" customFormat="1">
      <c r="A2311" s="17">
        <v>19</v>
      </c>
      <c r="B2311" s="18" t="s">
        <v>2323</v>
      </c>
      <c r="C2311" s="19" t="s">
        <v>1616</v>
      </c>
      <c r="D2311" s="42"/>
      <c r="E2311" s="42">
        <v>679.54435999999987</v>
      </c>
    </row>
    <row r="2312" spans="1:5" s="16" customFormat="1">
      <c r="A2312" s="17">
        <v>20</v>
      </c>
      <c r="B2312" s="18" t="s">
        <v>1900</v>
      </c>
      <c r="C2312" s="19" t="s">
        <v>1899</v>
      </c>
      <c r="D2312" s="42"/>
      <c r="E2312" s="42">
        <v>675.57606999999996</v>
      </c>
    </row>
    <row r="2313" spans="1:5" s="16" customFormat="1">
      <c r="A2313" s="17">
        <v>21</v>
      </c>
      <c r="B2313" s="18" t="s">
        <v>2628</v>
      </c>
      <c r="C2313" s="19" t="s">
        <v>2627</v>
      </c>
      <c r="D2313" s="42"/>
      <c r="E2313" s="42">
        <v>513.96114999999998</v>
      </c>
    </row>
    <row r="2314" spans="1:5" s="16" customFormat="1">
      <c r="A2314" s="40"/>
      <c r="B2314" s="25" t="s">
        <v>2</v>
      </c>
      <c r="C2314" s="27"/>
      <c r="D2314" s="43">
        <f>SUM(D2293:D2313)</f>
        <v>46799.269739999989</v>
      </c>
      <c r="E2314" s="43">
        <f>SUM(E2293:E2313)</f>
        <v>1869.08158</v>
      </c>
    </row>
    <row r="2315" spans="1:5" s="16" customFormat="1">
      <c r="A2315" s="5" t="s">
        <v>1036</v>
      </c>
      <c r="B2315" s="6"/>
      <c r="C2315" s="6"/>
      <c r="D2315" s="6"/>
      <c r="E2315" s="7"/>
    </row>
    <row r="2316" spans="1:5">
      <c r="A2316" s="17">
        <v>1</v>
      </c>
      <c r="B2316" s="18" t="s">
        <v>1038</v>
      </c>
      <c r="C2316" s="19">
        <v>21904198901681</v>
      </c>
      <c r="D2316" s="42">
        <f>3135440/1000</f>
        <v>3135.44</v>
      </c>
      <c r="E2316" s="42"/>
    </row>
    <row r="2317" spans="1:5">
      <c r="A2317" s="17">
        <v>2</v>
      </c>
      <c r="B2317" s="18" t="s">
        <v>1037</v>
      </c>
      <c r="C2317" s="19">
        <v>21205198600230</v>
      </c>
      <c r="D2317" s="42">
        <f>2686708.4/1000</f>
        <v>2686.7084</v>
      </c>
      <c r="E2317" s="42"/>
    </row>
    <row r="2318" spans="1:5">
      <c r="A2318" s="17">
        <v>3</v>
      </c>
      <c r="B2318" s="18" t="s">
        <v>1039</v>
      </c>
      <c r="C2318" s="19">
        <v>22605198400463</v>
      </c>
      <c r="D2318" s="42">
        <f>918099.2/1000</f>
        <v>918.0992</v>
      </c>
      <c r="E2318" s="42"/>
    </row>
    <row r="2319" spans="1:5">
      <c r="A2319" s="17">
        <v>4</v>
      </c>
      <c r="B2319" s="18" t="s">
        <v>2631</v>
      </c>
      <c r="C2319" s="19" t="s">
        <v>2629</v>
      </c>
      <c r="D2319" s="42">
        <f>585353.08/1000</f>
        <v>585.35307999999998</v>
      </c>
      <c r="E2319" s="42"/>
    </row>
    <row r="2320" spans="1:5">
      <c r="A2320" s="17">
        <v>5</v>
      </c>
      <c r="B2320" s="18" t="s">
        <v>2320</v>
      </c>
      <c r="C2320" s="19">
        <v>22406199001305</v>
      </c>
      <c r="D2320" s="42">
        <f>601429.72/1000</f>
        <v>601.42971999999997</v>
      </c>
      <c r="E2320" s="42"/>
    </row>
    <row r="2321" spans="1:5">
      <c r="A2321" s="17">
        <v>6</v>
      </c>
      <c r="B2321" s="18" t="s">
        <v>2632</v>
      </c>
      <c r="C2321" s="19" t="s">
        <v>2630</v>
      </c>
      <c r="D2321" s="42"/>
      <c r="E2321" s="42">
        <v>774.3</v>
      </c>
    </row>
    <row r="2322" spans="1:5" s="16" customFormat="1">
      <c r="A2322" s="17"/>
      <c r="B2322" s="25" t="s">
        <v>2</v>
      </c>
      <c r="C2322" s="27"/>
      <c r="D2322" s="43">
        <f>SUM(D2316:D2321)</f>
        <v>7927.0303999999996</v>
      </c>
      <c r="E2322" s="43">
        <f>SUM(E2316:E2321)</f>
        <v>774.3</v>
      </c>
    </row>
    <row r="2323" spans="1:5">
      <c r="A2323" s="4" t="s">
        <v>13</v>
      </c>
      <c r="B2323" s="4"/>
      <c r="C2323" s="4"/>
      <c r="D2323" s="4"/>
      <c r="E2323" s="4"/>
    </row>
    <row r="2324" spans="1:5">
      <c r="A2324" s="17">
        <v>1</v>
      </c>
      <c r="B2324" s="18" t="s">
        <v>222</v>
      </c>
      <c r="C2324" s="19">
        <v>2512201510024</v>
      </c>
      <c r="D2324" s="20">
        <f>9984925.02/1000</f>
        <v>9984.9250199999988</v>
      </c>
      <c r="E2324" s="20"/>
    </row>
    <row r="2325" spans="1:5">
      <c r="A2325" s="17">
        <v>2</v>
      </c>
      <c r="B2325" s="18" t="s">
        <v>224</v>
      </c>
      <c r="C2325" s="19">
        <v>2504201910111</v>
      </c>
      <c r="D2325" s="20">
        <f>5983314/1000</f>
        <v>5983.3140000000003</v>
      </c>
      <c r="E2325" s="20"/>
    </row>
    <row r="2326" spans="1:5">
      <c r="A2326" s="17">
        <v>3</v>
      </c>
      <c r="B2326" s="18" t="s">
        <v>646</v>
      </c>
      <c r="C2326" s="19">
        <v>3101201210050</v>
      </c>
      <c r="D2326" s="20">
        <f>3584662.06/1000</f>
        <v>3584.6620600000001</v>
      </c>
      <c r="E2326" s="20"/>
    </row>
    <row r="2327" spans="1:5">
      <c r="A2327" s="17">
        <v>4</v>
      </c>
      <c r="B2327" s="18" t="s">
        <v>223</v>
      </c>
      <c r="C2327" s="19">
        <v>1808202010059</v>
      </c>
      <c r="D2327" s="20">
        <f>1684323.48/1000</f>
        <v>1684.32348</v>
      </c>
      <c r="E2327" s="20"/>
    </row>
    <row r="2328" spans="1:5">
      <c r="A2328" s="17">
        <v>5</v>
      </c>
      <c r="B2328" s="18" t="s">
        <v>969</v>
      </c>
      <c r="C2328" s="19">
        <v>20906198500852</v>
      </c>
      <c r="D2328" s="20">
        <f>954410/1000</f>
        <v>954.41</v>
      </c>
      <c r="E2328" s="20"/>
    </row>
    <row r="2329" spans="1:5">
      <c r="A2329" s="17">
        <v>6</v>
      </c>
      <c r="B2329" s="18" t="s">
        <v>1035</v>
      </c>
      <c r="C2329" s="19">
        <v>21209196600361</v>
      </c>
      <c r="D2329" s="20">
        <f>541908/1000</f>
        <v>541.90800000000002</v>
      </c>
      <c r="E2329" s="20"/>
    </row>
    <row r="2330" spans="1:5">
      <c r="A2330" s="17">
        <v>7</v>
      </c>
      <c r="B2330" s="18" t="s">
        <v>970</v>
      </c>
      <c r="C2330" s="19">
        <v>23009197900269</v>
      </c>
      <c r="D2330" s="20">
        <f>528000/1000</f>
        <v>528</v>
      </c>
      <c r="E2330" s="20"/>
    </row>
    <row r="2331" spans="1:5">
      <c r="A2331" s="17">
        <v>8</v>
      </c>
      <c r="B2331" s="18" t="s">
        <v>3179</v>
      </c>
      <c r="C2331" s="19">
        <v>2301202010129</v>
      </c>
      <c r="D2331" s="20">
        <f>514348.35/1000</f>
        <v>514.34834999999998</v>
      </c>
      <c r="E2331" s="20"/>
    </row>
    <row r="2332" spans="1:5">
      <c r="A2332" s="17">
        <v>9</v>
      </c>
      <c r="B2332" s="18" t="s">
        <v>3181</v>
      </c>
      <c r="C2332" s="19" t="s">
        <v>3180</v>
      </c>
      <c r="D2332" s="20"/>
      <c r="E2332" s="20">
        <v>1184.3538000000001</v>
      </c>
    </row>
    <row r="2333" spans="1:5">
      <c r="A2333" s="17">
        <v>10</v>
      </c>
      <c r="B2333" s="18" t="s">
        <v>3182</v>
      </c>
      <c r="C2333" s="19" t="s">
        <v>1614</v>
      </c>
      <c r="D2333" s="20"/>
      <c r="E2333" s="20">
        <v>647.71832000000006</v>
      </c>
    </row>
    <row r="2334" spans="1:5">
      <c r="A2334" s="17"/>
      <c r="B2334" s="25" t="s">
        <v>2</v>
      </c>
      <c r="C2334" s="34"/>
      <c r="D2334" s="35">
        <f>SUM(D2324:D2333)</f>
        <v>23775.890909999998</v>
      </c>
      <c r="E2334" s="35">
        <f>SUM(E2324:E2333)</f>
        <v>1832.0721200000003</v>
      </c>
    </row>
    <row r="2335" spans="1:5">
      <c r="A2335" s="4" t="s">
        <v>49</v>
      </c>
      <c r="B2335" s="4"/>
      <c r="C2335" s="4"/>
      <c r="D2335" s="4"/>
      <c r="E2335" s="4"/>
    </row>
    <row r="2336" spans="1:5" s="15" customFormat="1">
      <c r="A2336" s="24">
        <v>1</v>
      </c>
      <c r="B2336" s="18" t="s">
        <v>607</v>
      </c>
      <c r="C2336" s="21">
        <v>2006201610255</v>
      </c>
      <c r="D2336" s="20">
        <f>120073579.03/1000</f>
        <v>120073.57903000001</v>
      </c>
      <c r="E2336" s="20"/>
    </row>
    <row r="2337" spans="1:5">
      <c r="A2337" s="24">
        <v>2</v>
      </c>
      <c r="B2337" s="18" t="s">
        <v>3185</v>
      </c>
      <c r="C2337" s="21">
        <v>20703198701015</v>
      </c>
      <c r="D2337" s="20">
        <f>45683392.29/1000</f>
        <v>45683.392289999996</v>
      </c>
      <c r="E2337" s="20"/>
    </row>
    <row r="2338" spans="1:5">
      <c r="A2338" s="24">
        <v>3</v>
      </c>
      <c r="B2338" s="18" t="s">
        <v>2342</v>
      </c>
      <c r="C2338" s="21">
        <v>2708201910039</v>
      </c>
      <c r="D2338" s="20">
        <f>38501816.3/1000</f>
        <v>38501.816299999999</v>
      </c>
      <c r="E2338" s="20"/>
    </row>
    <row r="2339" spans="1:5">
      <c r="A2339" s="24">
        <v>4</v>
      </c>
      <c r="B2339" s="18" t="s">
        <v>975</v>
      </c>
      <c r="C2339" s="21">
        <v>812202010038</v>
      </c>
      <c r="D2339" s="20">
        <f>33972813.32/1000</f>
        <v>33972.813320000001</v>
      </c>
      <c r="E2339" s="20"/>
    </row>
    <row r="2340" spans="1:5">
      <c r="A2340" s="24">
        <v>5</v>
      </c>
      <c r="B2340" s="18" t="s">
        <v>2343</v>
      </c>
      <c r="C2340" s="21">
        <v>901201710086</v>
      </c>
      <c r="D2340" s="20">
        <f>28358210.27/1000</f>
        <v>28358.21027</v>
      </c>
      <c r="E2340" s="20"/>
    </row>
    <row r="2341" spans="1:5">
      <c r="A2341" s="24">
        <v>6</v>
      </c>
      <c r="B2341" s="18" t="s">
        <v>3198</v>
      </c>
      <c r="C2341" s="21">
        <v>2102202210180</v>
      </c>
      <c r="D2341" s="20">
        <f>21970393.57/1000</f>
        <v>21970.39357</v>
      </c>
      <c r="E2341" s="20"/>
    </row>
    <row r="2342" spans="1:5">
      <c r="A2342" s="24">
        <v>7</v>
      </c>
      <c r="B2342" s="18" t="s">
        <v>982</v>
      </c>
      <c r="C2342" s="21">
        <v>1704201910039</v>
      </c>
      <c r="D2342" s="20">
        <f>21054898/1000</f>
        <v>21054.898000000001</v>
      </c>
      <c r="E2342" s="20"/>
    </row>
    <row r="2343" spans="1:5">
      <c r="A2343" s="24">
        <v>8</v>
      </c>
      <c r="B2343" s="18" t="s">
        <v>2344</v>
      </c>
      <c r="C2343" s="21">
        <v>109202010024</v>
      </c>
      <c r="D2343" s="20">
        <f>20402617.12/1000</f>
        <v>20402.617120000003</v>
      </c>
      <c r="E2343" s="20"/>
    </row>
    <row r="2344" spans="1:5">
      <c r="A2344" s="24">
        <v>9</v>
      </c>
      <c r="B2344" s="18" t="s">
        <v>3199</v>
      </c>
      <c r="C2344" s="21">
        <v>1703200810054</v>
      </c>
      <c r="D2344" s="20">
        <f>16776120.03/1000</f>
        <v>16776.120029999998</v>
      </c>
      <c r="E2344" s="20"/>
    </row>
    <row r="2345" spans="1:5">
      <c r="A2345" s="24">
        <v>10</v>
      </c>
      <c r="B2345" s="18" t="s">
        <v>2345</v>
      </c>
      <c r="C2345" s="21">
        <v>1212202210335</v>
      </c>
      <c r="D2345" s="20">
        <f>16398842.93/1000</f>
        <v>16398.842929999999</v>
      </c>
      <c r="E2345" s="20"/>
    </row>
    <row r="2346" spans="1:5">
      <c r="A2346" s="24">
        <v>11</v>
      </c>
      <c r="B2346" s="18" t="s">
        <v>622</v>
      </c>
      <c r="C2346" s="21">
        <v>3110200110102</v>
      </c>
      <c r="D2346" s="20">
        <f>15781330.08/1000</f>
        <v>15781.33008</v>
      </c>
      <c r="E2346" s="20"/>
    </row>
    <row r="2347" spans="1:5">
      <c r="A2347" s="24">
        <v>12</v>
      </c>
      <c r="B2347" s="18" t="s">
        <v>1580</v>
      </c>
      <c r="C2347" s="21">
        <v>3105202110017</v>
      </c>
      <c r="D2347" s="20">
        <f>14475723.63/1000</f>
        <v>14475.72363</v>
      </c>
      <c r="E2347" s="20"/>
    </row>
    <row r="2348" spans="1:5">
      <c r="A2348" s="24">
        <v>13</v>
      </c>
      <c r="B2348" s="18" t="s">
        <v>2346</v>
      </c>
      <c r="C2348" s="21">
        <v>2805201910170</v>
      </c>
      <c r="D2348" s="20">
        <f>14433539.87/1000</f>
        <v>14433.539869999999</v>
      </c>
      <c r="E2348" s="20"/>
    </row>
    <row r="2349" spans="1:5">
      <c r="A2349" s="24">
        <v>14</v>
      </c>
      <c r="B2349" s="18" t="s">
        <v>3200</v>
      </c>
      <c r="C2349" s="21">
        <v>806201610021</v>
      </c>
      <c r="D2349" s="20">
        <f>13924340.94/1000</f>
        <v>13924.34094</v>
      </c>
      <c r="E2349" s="20"/>
    </row>
    <row r="2350" spans="1:5">
      <c r="A2350" s="24">
        <v>15</v>
      </c>
      <c r="B2350" s="18" t="s">
        <v>3206</v>
      </c>
      <c r="C2350" s="21">
        <v>1605202210173</v>
      </c>
      <c r="D2350" s="20">
        <f>13463683.36/1000</f>
        <v>13463.683359999999</v>
      </c>
      <c r="E2350" s="20"/>
    </row>
    <row r="2351" spans="1:5">
      <c r="A2351" s="24">
        <v>16</v>
      </c>
      <c r="B2351" s="18" t="s">
        <v>2347</v>
      </c>
      <c r="C2351" s="21">
        <v>910202010016</v>
      </c>
      <c r="D2351" s="20">
        <f>10697826.45/1000</f>
        <v>10697.826449999999</v>
      </c>
      <c r="E2351" s="20"/>
    </row>
    <row r="2352" spans="1:5">
      <c r="A2352" s="24">
        <v>17</v>
      </c>
      <c r="B2352" s="18" t="s">
        <v>3207</v>
      </c>
      <c r="C2352" s="21">
        <v>1810200210210</v>
      </c>
      <c r="D2352" s="20">
        <f>10532378.33/1000</f>
        <v>10532.37833</v>
      </c>
      <c r="E2352" s="20"/>
    </row>
    <row r="2353" spans="1:5">
      <c r="A2353" s="24">
        <v>18</v>
      </c>
      <c r="B2353" s="18" t="s">
        <v>1948</v>
      </c>
      <c r="C2353" s="21">
        <v>2501201010038</v>
      </c>
      <c r="D2353" s="20">
        <f>9966135.51/1000</f>
        <v>9966.1355100000001</v>
      </c>
      <c r="E2353" s="20"/>
    </row>
    <row r="2354" spans="1:5">
      <c r="A2354" s="24">
        <v>19</v>
      </c>
      <c r="B2354" s="18" t="s">
        <v>2348</v>
      </c>
      <c r="C2354" s="21">
        <v>1205202010074</v>
      </c>
      <c r="D2354" s="20">
        <f>9239254.78/1000</f>
        <v>9239.2547799999993</v>
      </c>
      <c r="E2354" s="20"/>
    </row>
    <row r="2355" spans="1:5">
      <c r="A2355" s="24">
        <v>20</v>
      </c>
      <c r="B2355" s="18" t="s">
        <v>623</v>
      </c>
      <c r="C2355" s="21">
        <v>3003201810028</v>
      </c>
      <c r="D2355" s="20">
        <f>7794252.82/1000</f>
        <v>7794.2528200000006</v>
      </c>
      <c r="E2355" s="20"/>
    </row>
    <row r="2356" spans="1:5">
      <c r="A2356" s="24">
        <v>21</v>
      </c>
      <c r="B2356" s="18" t="s">
        <v>608</v>
      </c>
      <c r="C2356" s="21">
        <v>1802200910193</v>
      </c>
      <c r="D2356" s="20">
        <f>6496603.09/1000</f>
        <v>6496.6030899999996</v>
      </c>
      <c r="E2356" s="20"/>
    </row>
    <row r="2357" spans="1:5">
      <c r="A2357" s="24">
        <v>22</v>
      </c>
      <c r="B2357" s="18" t="s">
        <v>2349</v>
      </c>
      <c r="C2357" s="21">
        <v>1407201010028</v>
      </c>
      <c r="D2357" s="20">
        <f>6091480.5/1000</f>
        <v>6091.4804999999997</v>
      </c>
      <c r="E2357" s="20"/>
    </row>
    <row r="2358" spans="1:5">
      <c r="A2358" s="24">
        <v>23</v>
      </c>
      <c r="B2358" s="18" t="s">
        <v>3208</v>
      </c>
      <c r="C2358" s="21">
        <v>2212200510120</v>
      </c>
      <c r="D2358" s="20">
        <f>6080018.75/1000</f>
        <v>6080.0187500000002</v>
      </c>
      <c r="E2358" s="20"/>
    </row>
    <row r="2359" spans="1:5">
      <c r="A2359" s="24">
        <v>24</v>
      </c>
      <c r="B2359" s="18" t="s">
        <v>618</v>
      </c>
      <c r="C2359" s="21">
        <v>2504201910089</v>
      </c>
      <c r="D2359" s="20">
        <f>5908320/1000</f>
        <v>5908.32</v>
      </c>
      <c r="E2359" s="20"/>
    </row>
    <row r="2360" spans="1:5">
      <c r="A2360" s="24">
        <v>25</v>
      </c>
      <c r="B2360" s="18" t="s">
        <v>602</v>
      </c>
      <c r="C2360" s="21">
        <v>1611201710103</v>
      </c>
      <c r="D2360" s="20">
        <f>5720270.82/1000</f>
        <v>5720.2708200000006</v>
      </c>
      <c r="E2360" s="20"/>
    </row>
    <row r="2361" spans="1:5">
      <c r="A2361" s="24">
        <v>26</v>
      </c>
      <c r="B2361" s="18" t="s">
        <v>1581</v>
      </c>
      <c r="C2361" s="21">
        <v>10308197601071</v>
      </c>
      <c r="D2361" s="20">
        <f>25375147.59/1000</f>
        <v>25375.14759</v>
      </c>
      <c r="E2361" s="20"/>
    </row>
    <row r="2362" spans="1:5">
      <c r="A2362" s="24">
        <v>27</v>
      </c>
      <c r="B2362" s="18" t="s">
        <v>595</v>
      </c>
      <c r="C2362" s="21">
        <v>1003201610015</v>
      </c>
      <c r="D2362" s="20">
        <f>5188133.13/1000</f>
        <v>5188.1331300000002</v>
      </c>
      <c r="E2362" s="20"/>
    </row>
    <row r="2363" spans="1:5">
      <c r="A2363" s="24">
        <v>28</v>
      </c>
      <c r="B2363" s="18" t="s">
        <v>609</v>
      </c>
      <c r="C2363" s="21">
        <v>2005201410152</v>
      </c>
      <c r="D2363" s="20">
        <f>5037670.56/1000</f>
        <v>5037.6705599999996</v>
      </c>
      <c r="E2363" s="20"/>
    </row>
    <row r="2364" spans="1:5">
      <c r="A2364" s="24">
        <v>29</v>
      </c>
      <c r="B2364" s="18" t="s">
        <v>1799</v>
      </c>
      <c r="C2364" s="21">
        <v>22503199300698</v>
      </c>
      <c r="D2364" s="20">
        <f>5391109.28/1000</f>
        <v>5391.1092800000006</v>
      </c>
      <c r="E2364" s="20"/>
    </row>
    <row r="2365" spans="1:5">
      <c r="A2365" s="24">
        <v>30</v>
      </c>
      <c r="B2365" s="18" t="s">
        <v>1813</v>
      </c>
      <c r="C2365" s="21">
        <v>1511202210096</v>
      </c>
      <c r="D2365" s="20">
        <f>4869332.15/1000</f>
        <v>4869.3321500000002</v>
      </c>
      <c r="E2365" s="20"/>
    </row>
    <row r="2366" spans="1:5">
      <c r="A2366" s="24">
        <v>31</v>
      </c>
      <c r="B2366" s="18" t="s">
        <v>1947</v>
      </c>
      <c r="C2366" s="21">
        <v>1106202110059</v>
      </c>
      <c r="D2366" s="20">
        <f>4777068.45/1000</f>
        <v>4777.0684499999998</v>
      </c>
      <c r="E2366" s="20"/>
    </row>
    <row r="2367" spans="1:5">
      <c r="A2367" s="24">
        <v>32</v>
      </c>
      <c r="B2367" s="18" t="s">
        <v>2365</v>
      </c>
      <c r="C2367" s="21">
        <v>1508201710050</v>
      </c>
      <c r="D2367" s="20">
        <f>4521338.76/1000</f>
        <v>4521.3387599999996</v>
      </c>
      <c r="E2367" s="20"/>
    </row>
    <row r="2368" spans="1:5">
      <c r="A2368" s="24">
        <v>33</v>
      </c>
      <c r="B2368" s="18" t="s">
        <v>610</v>
      </c>
      <c r="C2368" s="21">
        <v>1809201410150</v>
      </c>
      <c r="D2368" s="20">
        <f>4288422/1000</f>
        <v>4288.4219999999996</v>
      </c>
      <c r="E2368" s="20"/>
    </row>
    <row r="2369" spans="1:5">
      <c r="A2369" s="24">
        <v>34</v>
      </c>
      <c r="B2369" s="18" t="s">
        <v>603</v>
      </c>
      <c r="C2369" s="21">
        <v>1607201310084</v>
      </c>
      <c r="D2369" s="20">
        <f>4221079.1/1000</f>
        <v>4221.0790999999999</v>
      </c>
      <c r="E2369" s="20"/>
    </row>
    <row r="2370" spans="1:5">
      <c r="A2370" s="24">
        <v>35</v>
      </c>
      <c r="B2370" s="18" t="s">
        <v>1800</v>
      </c>
      <c r="C2370" s="21">
        <v>1810201610017</v>
      </c>
      <c r="D2370" s="20">
        <f>4047999.41/1000</f>
        <v>4047.9994100000004</v>
      </c>
      <c r="E2370" s="20"/>
    </row>
    <row r="2371" spans="1:5">
      <c r="A2371" s="24">
        <v>36</v>
      </c>
      <c r="B2371" s="18" t="s">
        <v>971</v>
      </c>
      <c r="C2371" s="21">
        <v>512201810025</v>
      </c>
      <c r="D2371" s="20">
        <f>4067423.47/1000</f>
        <v>4067.4234700000002</v>
      </c>
      <c r="E2371" s="20"/>
    </row>
    <row r="2372" spans="1:5">
      <c r="A2372" s="24">
        <v>37</v>
      </c>
      <c r="B2372" s="18" t="s">
        <v>616</v>
      </c>
      <c r="C2372" s="21">
        <v>2110201410102</v>
      </c>
      <c r="D2372" s="20">
        <f>3728426.72/1000</f>
        <v>3728.4267200000004</v>
      </c>
      <c r="E2372" s="20"/>
    </row>
    <row r="2373" spans="1:5">
      <c r="A2373" s="24">
        <v>38</v>
      </c>
      <c r="B2373" s="18" t="s">
        <v>1582</v>
      </c>
      <c r="C2373" s="21">
        <v>2202202210066</v>
      </c>
      <c r="D2373" s="20">
        <f>3701577.12/1000</f>
        <v>3701.5771199999999</v>
      </c>
      <c r="E2373" s="20"/>
    </row>
    <row r="2374" spans="1:5">
      <c r="A2374" s="24">
        <v>39</v>
      </c>
      <c r="B2374" s="18" t="s">
        <v>3204</v>
      </c>
      <c r="C2374" s="21">
        <v>709200710420</v>
      </c>
      <c r="D2374" s="20">
        <f>3701134.65/1000</f>
        <v>3701.13465</v>
      </c>
      <c r="E2374" s="20"/>
    </row>
    <row r="2375" spans="1:5">
      <c r="A2375" s="24">
        <v>40</v>
      </c>
      <c r="B2375" s="18" t="s">
        <v>611</v>
      </c>
      <c r="C2375" s="21">
        <v>21705199200566</v>
      </c>
      <c r="D2375" s="20">
        <f>3653835.52/1000</f>
        <v>3653.8355200000001</v>
      </c>
      <c r="E2375" s="20"/>
    </row>
    <row r="2376" spans="1:5">
      <c r="A2376" s="24">
        <v>41</v>
      </c>
      <c r="B2376" s="18" t="s">
        <v>619</v>
      </c>
      <c r="C2376" s="21">
        <v>22511198701168</v>
      </c>
      <c r="D2376" s="20">
        <f>3782040.28/1000</f>
        <v>3782.0402799999997</v>
      </c>
      <c r="E2376" s="20"/>
    </row>
    <row r="2377" spans="1:5">
      <c r="A2377" s="24">
        <v>42</v>
      </c>
      <c r="B2377" s="18" t="s">
        <v>3209</v>
      </c>
      <c r="C2377" s="21">
        <v>1603202210120</v>
      </c>
      <c r="D2377" s="20">
        <f>3508263.87/1000</f>
        <v>3508.2638700000002</v>
      </c>
      <c r="E2377" s="20"/>
    </row>
    <row r="2378" spans="1:5">
      <c r="A2378" s="24">
        <v>43</v>
      </c>
      <c r="B2378" s="18" t="s">
        <v>1023</v>
      </c>
      <c r="C2378" s="21">
        <v>508202210261</v>
      </c>
      <c r="D2378" s="20">
        <f>3485774.18/1000</f>
        <v>3485.7741800000003</v>
      </c>
      <c r="E2378" s="20"/>
    </row>
    <row r="2379" spans="1:5">
      <c r="A2379" s="24">
        <v>44</v>
      </c>
      <c r="B2379" s="18" t="s">
        <v>1801</v>
      </c>
      <c r="C2379" s="21">
        <v>1010201110070</v>
      </c>
      <c r="D2379" s="20">
        <f>1841839.03/1000</f>
        <v>1841.8390300000001</v>
      </c>
      <c r="E2379" s="20"/>
    </row>
    <row r="2380" spans="1:5">
      <c r="A2380" s="24">
        <v>45</v>
      </c>
      <c r="B2380" s="18" t="s">
        <v>2350</v>
      </c>
      <c r="C2380" s="21">
        <v>1803201010148</v>
      </c>
      <c r="D2380" s="20">
        <f>3429722.68/1000</f>
        <v>3429.7226800000003</v>
      </c>
      <c r="E2380" s="20"/>
    </row>
    <row r="2381" spans="1:5">
      <c r="A2381" s="24">
        <v>46</v>
      </c>
      <c r="B2381" s="18" t="s">
        <v>2351</v>
      </c>
      <c r="C2381" s="21">
        <v>21106198501181</v>
      </c>
      <c r="D2381" s="20">
        <f>3294640.65/1000</f>
        <v>3294.6406499999998</v>
      </c>
      <c r="E2381" s="20"/>
    </row>
    <row r="2382" spans="1:5">
      <c r="A2382" s="24">
        <v>47</v>
      </c>
      <c r="B2382" s="18" t="s">
        <v>2352</v>
      </c>
      <c r="C2382" s="21">
        <v>907200810071</v>
      </c>
      <c r="D2382" s="20">
        <f>3255821.97/1000</f>
        <v>3255.8219700000004</v>
      </c>
      <c r="E2382" s="20"/>
    </row>
    <row r="2383" spans="1:5">
      <c r="A2383" s="24">
        <v>48</v>
      </c>
      <c r="B2383" s="18" t="s">
        <v>974</v>
      </c>
      <c r="C2383" s="21">
        <v>1701201710054</v>
      </c>
      <c r="D2383" s="20">
        <f>3138786.29/1000</f>
        <v>3138.78629</v>
      </c>
      <c r="E2383" s="20"/>
    </row>
    <row r="2384" spans="1:5">
      <c r="A2384" s="24">
        <v>49</v>
      </c>
      <c r="B2384" s="18" t="s">
        <v>3205</v>
      </c>
      <c r="C2384" s="21">
        <v>3112200810421</v>
      </c>
      <c r="D2384" s="20">
        <f>3055278.6/1000</f>
        <v>3055.2786000000001</v>
      </c>
      <c r="E2384" s="20"/>
    </row>
    <row r="2385" spans="1:5">
      <c r="A2385" s="24">
        <v>50</v>
      </c>
      <c r="B2385" s="18" t="s">
        <v>973</v>
      </c>
      <c r="C2385" s="21">
        <v>205201410269</v>
      </c>
      <c r="D2385" s="20">
        <f>2965993.07/1000</f>
        <v>2965.99307</v>
      </c>
      <c r="E2385" s="20"/>
    </row>
    <row r="2386" spans="1:5">
      <c r="A2386" s="24">
        <v>51</v>
      </c>
      <c r="B2386" s="18" t="s">
        <v>1806</v>
      </c>
      <c r="C2386" s="21">
        <v>2005202010083</v>
      </c>
      <c r="D2386" s="20">
        <f>2929573.07/1000</f>
        <v>2929.5730699999999</v>
      </c>
      <c r="E2386" s="20"/>
    </row>
    <row r="2387" spans="1:5">
      <c r="A2387" s="24">
        <v>52</v>
      </c>
      <c r="B2387" s="18" t="s">
        <v>1802</v>
      </c>
      <c r="C2387" s="21">
        <v>10706198000248</v>
      </c>
      <c r="D2387" s="20">
        <f>2748306.49/1000</f>
        <v>2748.3064900000004</v>
      </c>
      <c r="E2387" s="20"/>
    </row>
    <row r="2388" spans="1:5">
      <c r="A2388" s="24">
        <v>53</v>
      </c>
      <c r="B2388" s="18" t="s">
        <v>1803</v>
      </c>
      <c r="C2388" s="21">
        <v>2701202210139</v>
      </c>
      <c r="D2388" s="20">
        <f>2732844.76/1000</f>
        <v>2732.84476</v>
      </c>
      <c r="E2388" s="20"/>
    </row>
    <row r="2389" spans="1:5">
      <c r="A2389" s="24">
        <v>54</v>
      </c>
      <c r="B2389" s="18" t="s">
        <v>2353</v>
      </c>
      <c r="C2389" s="21">
        <v>1101202210013</v>
      </c>
      <c r="D2389" s="20">
        <f>2532147.53/1000</f>
        <v>2532.1475299999997</v>
      </c>
      <c r="E2389" s="20"/>
    </row>
    <row r="2390" spans="1:5">
      <c r="A2390" s="24">
        <v>55</v>
      </c>
      <c r="B2390" s="18" t="s">
        <v>1021</v>
      </c>
      <c r="C2390" s="21">
        <v>21807196500661</v>
      </c>
      <c r="D2390" s="20">
        <f>2464057.11/1000</f>
        <v>2464.0571099999997</v>
      </c>
      <c r="E2390" s="20"/>
    </row>
    <row r="2391" spans="1:5">
      <c r="A2391" s="24">
        <v>56</v>
      </c>
      <c r="B2391" s="18" t="s">
        <v>3210</v>
      </c>
      <c r="C2391" s="21">
        <v>110199610031</v>
      </c>
      <c r="D2391" s="20">
        <f>2453431.43/1000</f>
        <v>2453.4314300000001</v>
      </c>
      <c r="E2391" s="20">
        <v>2333.3000000000002</v>
      </c>
    </row>
    <row r="2392" spans="1:5">
      <c r="A2392" s="24">
        <v>57</v>
      </c>
      <c r="B2392" s="18" t="s">
        <v>3186</v>
      </c>
      <c r="C2392" s="21">
        <v>22105197800833</v>
      </c>
      <c r="D2392" s="20">
        <f>2400022/1000</f>
        <v>2400.0219999999999</v>
      </c>
      <c r="E2392" s="20"/>
    </row>
    <row r="2393" spans="1:5">
      <c r="A2393" s="24">
        <v>58</v>
      </c>
      <c r="B2393" s="18" t="s">
        <v>624</v>
      </c>
      <c r="C2393" s="21">
        <v>3004201910107</v>
      </c>
      <c r="D2393" s="20">
        <f>2278700.5/1000</f>
        <v>2278.7004999999999</v>
      </c>
      <c r="E2393" s="20"/>
    </row>
    <row r="2394" spans="1:5">
      <c r="A2394" s="24">
        <v>59</v>
      </c>
      <c r="B2394" s="18" t="s">
        <v>617</v>
      </c>
      <c r="C2394" s="21">
        <v>12412199000537</v>
      </c>
      <c r="D2394" s="20">
        <f>2071208.88/1000</f>
        <v>2071.2088799999997</v>
      </c>
      <c r="E2394" s="20"/>
    </row>
    <row r="2395" spans="1:5">
      <c r="A2395" s="24">
        <v>60</v>
      </c>
      <c r="B2395" s="18" t="s">
        <v>1949</v>
      </c>
      <c r="C2395" s="21">
        <v>21409198001068</v>
      </c>
      <c r="D2395" s="20">
        <f>1937863.9/1000</f>
        <v>1937.8638999999998</v>
      </c>
      <c r="E2395" s="20"/>
    </row>
    <row r="2396" spans="1:5">
      <c r="A2396" s="24">
        <v>61</v>
      </c>
      <c r="B2396" s="18" t="s">
        <v>1137</v>
      </c>
      <c r="C2396" s="21">
        <v>2903202310103</v>
      </c>
      <c r="D2396" s="20">
        <f>1898297.33/1000</f>
        <v>1898.2973300000001</v>
      </c>
      <c r="E2396" s="20"/>
    </row>
    <row r="2397" spans="1:5">
      <c r="A2397" s="24">
        <v>62</v>
      </c>
      <c r="B2397" s="18" t="s">
        <v>1804</v>
      </c>
      <c r="C2397" s="21">
        <v>1407202210021</v>
      </c>
      <c r="D2397" s="20">
        <f>1814255.28/1000</f>
        <v>1814.2552800000001</v>
      </c>
      <c r="E2397" s="20"/>
    </row>
    <row r="2398" spans="1:5">
      <c r="A2398" s="24">
        <v>63</v>
      </c>
      <c r="B2398" s="18" t="s">
        <v>3203</v>
      </c>
      <c r="C2398" s="21">
        <v>1901200710024</v>
      </c>
      <c r="D2398" s="20">
        <f>1809724.18/1000</f>
        <v>1809.7241799999999</v>
      </c>
      <c r="E2398" s="20"/>
    </row>
    <row r="2399" spans="1:5">
      <c r="A2399" s="24">
        <v>64</v>
      </c>
      <c r="B2399" s="18" t="s">
        <v>972</v>
      </c>
      <c r="C2399" s="21">
        <v>1204201810011</v>
      </c>
      <c r="D2399" s="20">
        <f>1787965.34/1000</f>
        <v>1787.9653400000002</v>
      </c>
      <c r="E2399" s="20"/>
    </row>
    <row r="2400" spans="1:5">
      <c r="A2400" s="24">
        <v>65</v>
      </c>
      <c r="B2400" s="18" t="s">
        <v>3187</v>
      </c>
      <c r="C2400" s="21">
        <v>509202210136</v>
      </c>
      <c r="D2400" s="20">
        <f>1767285.94/1000</f>
        <v>1767.28594</v>
      </c>
      <c r="E2400" s="20"/>
    </row>
    <row r="2401" spans="1:5">
      <c r="A2401" s="24">
        <v>66</v>
      </c>
      <c r="B2401" s="18" t="s">
        <v>2357</v>
      </c>
      <c r="C2401" s="21">
        <v>2810201110087</v>
      </c>
      <c r="D2401" s="20">
        <f>1747057.97/1000</f>
        <v>1747.0579700000001</v>
      </c>
      <c r="E2401" s="20"/>
    </row>
    <row r="2402" spans="1:5">
      <c r="A2402" s="24">
        <v>67</v>
      </c>
      <c r="B2402" s="18" t="s">
        <v>596</v>
      </c>
      <c r="C2402" s="21">
        <v>20902199501321</v>
      </c>
      <c r="D2402" s="20">
        <f>1730503.46/1000</f>
        <v>1730.5034599999999</v>
      </c>
      <c r="E2402" s="20"/>
    </row>
    <row r="2403" spans="1:5">
      <c r="A2403" s="24">
        <v>68</v>
      </c>
      <c r="B2403" s="18" t="s">
        <v>3211</v>
      </c>
      <c r="C2403" s="21">
        <v>2305200610024</v>
      </c>
      <c r="D2403" s="20">
        <f>1718925.42/1000</f>
        <v>1718.92542</v>
      </c>
      <c r="E2403" s="20"/>
    </row>
    <row r="2404" spans="1:5">
      <c r="A2404" s="24">
        <v>69</v>
      </c>
      <c r="B2404" s="18" t="s">
        <v>2354</v>
      </c>
      <c r="C2404" s="21">
        <v>2209201410128</v>
      </c>
      <c r="D2404" s="20">
        <f>1674431.74/1000</f>
        <v>1674.43174</v>
      </c>
      <c r="E2404" s="20"/>
    </row>
    <row r="2405" spans="1:5">
      <c r="A2405" s="24">
        <v>70</v>
      </c>
      <c r="B2405" s="18" t="s">
        <v>604</v>
      </c>
      <c r="C2405" s="21">
        <v>1412202010026</v>
      </c>
      <c r="D2405" s="20">
        <f>1615475.44/1000</f>
        <v>1615.4754399999999</v>
      </c>
      <c r="E2405" s="20"/>
    </row>
    <row r="2406" spans="1:5">
      <c r="A2406" s="24">
        <v>71</v>
      </c>
      <c r="B2406" s="18" t="s">
        <v>1951</v>
      </c>
      <c r="C2406" s="21">
        <v>2512200210165</v>
      </c>
      <c r="D2406" s="20">
        <f>1805270.81/1000</f>
        <v>1805.27081</v>
      </c>
      <c r="E2406" s="20"/>
    </row>
    <row r="2407" spans="1:5">
      <c r="A2407" s="24">
        <v>72</v>
      </c>
      <c r="B2407" s="18" t="s">
        <v>612</v>
      </c>
      <c r="C2407" s="21">
        <v>1801201210288</v>
      </c>
      <c r="D2407" s="20">
        <f>1607314.04/1000</f>
        <v>1607.31404</v>
      </c>
      <c r="E2407" s="20"/>
    </row>
    <row r="2408" spans="1:5">
      <c r="A2408" s="24">
        <v>73</v>
      </c>
      <c r="B2408" s="18" t="s">
        <v>588</v>
      </c>
      <c r="C2408" s="21">
        <v>20405198400124</v>
      </c>
      <c r="D2408" s="20">
        <f>1615000/1000</f>
        <v>1615</v>
      </c>
      <c r="E2408" s="20"/>
    </row>
    <row r="2409" spans="1:5">
      <c r="A2409" s="24">
        <v>74</v>
      </c>
      <c r="B2409" s="18" t="s">
        <v>3188</v>
      </c>
      <c r="C2409" s="21">
        <v>10304197801323</v>
      </c>
      <c r="D2409" s="20">
        <f>1552928.22/1000</f>
        <v>1552.92822</v>
      </c>
      <c r="E2409" s="20"/>
    </row>
    <row r="2410" spans="1:5">
      <c r="A2410" s="24">
        <v>75</v>
      </c>
      <c r="B2410" s="18" t="s">
        <v>620</v>
      </c>
      <c r="C2410" s="21">
        <v>2505201710059</v>
      </c>
      <c r="D2410" s="20">
        <f>1552281.67/1000</f>
        <v>1552.2816699999998</v>
      </c>
      <c r="E2410" s="20"/>
    </row>
    <row r="2411" spans="1:5">
      <c r="A2411" s="24">
        <v>76</v>
      </c>
      <c r="B2411" s="18" t="s">
        <v>3212</v>
      </c>
      <c r="C2411" s="21">
        <v>2803200110125</v>
      </c>
      <c r="D2411" s="20">
        <f>1530823.28/1000</f>
        <v>1530.8232800000001</v>
      </c>
      <c r="E2411" s="20"/>
    </row>
    <row r="2412" spans="1:5">
      <c r="A2412" s="24">
        <v>77</v>
      </c>
      <c r="B2412" s="18" t="s">
        <v>2358</v>
      </c>
      <c r="C2412" s="21">
        <v>2509201810014</v>
      </c>
      <c r="D2412" s="20">
        <f>1491954.72/1000</f>
        <v>1491.95472</v>
      </c>
      <c r="E2412" s="20"/>
    </row>
    <row r="2413" spans="1:5">
      <c r="A2413" s="24">
        <v>78</v>
      </c>
      <c r="B2413" s="18" t="s">
        <v>1138</v>
      </c>
      <c r="C2413" s="21">
        <v>2708201910095</v>
      </c>
      <c r="D2413" s="20">
        <f>1487353.84/1000</f>
        <v>1487.35384</v>
      </c>
      <c r="E2413" s="20"/>
    </row>
    <row r="2414" spans="1:5">
      <c r="A2414" s="24">
        <v>79</v>
      </c>
      <c r="B2414" s="18" t="s">
        <v>1805</v>
      </c>
      <c r="C2414" s="21">
        <v>12502199701134</v>
      </c>
      <c r="D2414" s="20">
        <f>1443605.2/1000</f>
        <v>1443.6052</v>
      </c>
      <c r="E2414" s="20"/>
    </row>
    <row r="2415" spans="1:5">
      <c r="A2415" s="24">
        <v>80</v>
      </c>
      <c r="B2415" s="18" t="s">
        <v>2355</v>
      </c>
      <c r="C2415" s="21">
        <v>1811199410015</v>
      </c>
      <c r="D2415" s="20">
        <f>1430598.83/1000</f>
        <v>1430.5988300000001</v>
      </c>
      <c r="E2415" s="20"/>
    </row>
    <row r="2416" spans="1:5">
      <c r="A2416" s="24">
        <v>81</v>
      </c>
      <c r="B2416" s="18" t="s">
        <v>1139</v>
      </c>
      <c r="C2416" s="21">
        <v>3008201910118</v>
      </c>
      <c r="D2416" s="20">
        <f>1397986.19/1000</f>
        <v>1397.9861899999999</v>
      </c>
      <c r="E2416" s="20"/>
    </row>
    <row r="2417" spans="1:5">
      <c r="A2417" s="24">
        <v>82</v>
      </c>
      <c r="B2417" s="18" t="s">
        <v>614</v>
      </c>
      <c r="C2417" s="21">
        <v>1910202110016</v>
      </c>
      <c r="D2417" s="20">
        <f>1392668.35/1000</f>
        <v>1392.6683500000001</v>
      </c>
      <c r="E2417" s="20"/>
    </row>
    <row r="2418" spans="1:5">
      <c r="A2418" s="24">
        <v>83</v>
      </c>
      <c r="B2418" s="18" t="s">
        <v>976</v>
      </c>
      <c r="C2418" s="21">
        <v>2801199210017</v>
      </c>
      <c r="D2418" s="20">
        <f>1344256/1000</f>
        <v>1344.2560000000001</v>
      </c>
      <c r="E2418" s="20"/>
    </row>
    <row r="2419" spans="1:5">
      <c r="A2419" s="24">
        <v>84</v>
      </c>
      <c r="B2419" s="18" t="s">
        <v>3213</v>
      </c>
      <c r="C2419" s="21">
        <v>305202110264</v>
      </c>
      <c r="D2419" s="20">
        <f>1302123.39/1000</f>
        <v>1302.12339</v>
      </c>
      <c r="E2419" s="20">
        <v>835.9</v>
      </c>
    </row>
    <row r="2420" spans="1:5">
      <c r="A2420" s="24">
        <v>85</v>
      </c>
      <c r="B2420" s="18" t="s">
        <v>3189</v>
      </c>
      <c r="C2420" s="21">
        <v>11701200400186</v>
      </c>
      <c r="D2420" s="20">
        <f>1264042.18/1000</f>
        <v>1264.0421799999999</v>
      </c>
      <c r="E2420" s="20"/>
    </row>
    <row r="2421" spans="1:5">
      <c r="A2421" s="24">
        <v>86</v>
      </c>
      <c r="B2421" s="18" t="s">
        <v>590</v>
      </c>
      <c r="C2421" s="21">
        <v>10711198601451</v>
      </c>
      <c r="D2421" s="20">
        <f>1205000/1000</f>
        <v>1205</v>
      </c>
      <c r="E2421" s="20"/>
    </row>
    <row r="2422" spans="1:5">
      <c r="A2422" s="24">
        <v>87</v>
      </c>
      <c r="B2422" s="18" t="s">
        <v>615</v>
      </c>
      <c r="C2422" s="21">
        <v>22009199900159</v>
      </c>
      <c r="D2422" s="20">
        <f>1193453.55/1000</f>
        <v>1193.45355</v>
      </c>
      <c r="E2422" s="20"/>
    </row>
    <row r="2423" spans="1:5">
      <c r="A2423" s="24">
        <v>88</v>
      </c>
      <c r="B2423" s="18" t="s">
        <v>625</v>
      </c>
      <c r="C2423" s="21">
        <v>22903197101219</v>
      </c>
      <c r="D2423" s="20">
        <f>1116455.2/1000</f>
        <v>1116.4551999999999</v>
      </c>
      <c r="E2423" s="20"/>
    </row>
    <row r="2424" spans="1:5">
      <c r="A2424" s="24">
        <v>89</v>
      </c>
      <c r="B2424" s="18" t="s">
        <v>3214</v>
      </c>
      <c r="C2424" s="21">
        <v>508201310056</v>
      </c>
      <c r="D2424" s="20">
        <f>1107662.57/1000</f>
        <v>1107.66257</v>
      </c>
      <c r="E2424" s="20"/>
    </row>
    <row r="2425" spans="1:5">
      <c r="A2425" s="24">
        <v>90</v>
      </c>
      <c r="B2425" s="18" t="s">
        <v>613</v>
      </c>
      <c r="C2425" s="21">
        <v>21910198101187</v>
      </c>
      <c r="D2425" s="20">
        <f>1100111.72/1000</f>
        <v>1100.1117199999999</v>
      </c>
      <c r="E2425" s="20"/>
    </row>
    <row r="2426" spans="1:5">
      <c r="A2426" s="24">
        <v>91</v>
      </c>
      <c r="B2426" s="18" t="s">
        <v>597</v>
      </c>
      <c r="C2426" s="21">
        <v>21212197601017</v>
      </c>
      <c r="D2426" s="20">
        <f>1070680.06/1000</f>
        <v>1070.6800600000001</v>
      </c>
      <c r="E2426" s="20"/>
    </row>
    <row r="2427" spans="1:5">
      <c r="A2427" s="24">
        <v>92</v>
      </c>
      <c r="B2427" s="18" t="s">
        <v>591</v>
      </c>
      <c r="C2427" s="21">
        <v>812201010173</v>
      </c>
      <c r="D2427" s="20">
        <f>1045724.54/1000</f>
        <v>1045.7245399999999</v>
      </c>
      <c r="E2427" s="20"/>
    </row>
    <row r="2428" spans="1:5">
      <c r="A2428" s="24">
        <v>93</v>
      </c>
      <c r="B2428" s="18" t="s">
        <v>977</v>
      </c>
      <c r="C2428" s="21">
        <v>3105202110099</v>
      </c>
      <c r="D2428" s="20">
        <f>1049336.84/1000</f>
        <v>1049.3368400000002</v>
      </c>
      <c r="E2428" s="20"/>
    </row>
    <row r="2429" spans="1:5">
      <c r="A2429" s="24">
        <v>94</v>
      </c>
      <c r="B2429" s="18" t="s">
        <v>1807</v>
      </c>
      <c r="C2429" s="21">
        <v>2009201810101</v>
      </c>
      <c r="D2429" s="20">
        <f>1012857.8/1000</f>
        <v>1012.8578</v>
      </c>
      <c r="E2429" s="20"/>
    </row>
    <row r="2430" spans="1:5">
      <c r="A2430" s="24">
        <v>95</v>
      </c>
      <c r="B2430" s="18" t="s">
        <v>3215</v>
      </c>
      <c r="C2430" s="21">
        <v>42609201210078</v>
      </c>
      <c r="D2430" s="20">
        <f>1316025.7/1000</f>
        <v>1316.0256999999999</v>
      </c>
      <c r="E2430" s="20"/>
    </row>
    <row r="2431" spans="1:5">
      <c r="A2431" s="24">
        <v>96</v>
      </c>
      <c r="B2431" s="18" t="s">
        <v>3190</v>
      </c>
      <c r="C2431" s="21">
        <v>312201810058</v>
      </c>
      <c r="D2431" s="20">
        <f>982863.88/1000</f>
        <v>982.86387999999999</v>
      </c>
      <c r="E2431" s="20"/>
    </row>
    <row r="2432" spans="1:5">
      <c r="A2432" s="24">
        <v>97</v>
      </c>
      <c r="B2432" s="18" t="s">
        <v>589</v>
      </c>
      <c r="C2432" s="21">
        <v>20109199200238</v>
      </c>
      <c r="D2432" s="20">
        <f>970000/1000</f>
        <v>970</v>
      </c>
      <c r="E2432" s="20"/>
    </row>
    <row r="2433" spans="1:5">
      <c r="A2433" s="24">
        <v>98</v>
      </c>
      <c r="B2433" s="18" t="s">
        <v>3216</v>
      </c>
      <c r="C2433" s="21">
        <v>2405200410041</v>
      </c>
      <c r="D2433" s="20">
        <f>946503.75/1000</f>
        <v>946.50374999999997</v>
      </c>
      <c r="E2433" s="20"/>
    </row>
    <row r="2434" spans="1:5">
      <c r="A2434" s="24">
        <v>99</v>
      </c>
      <c r="B2434" s="18" t="s">
        <v>592</v>
      </c>
      <c r="C2434" s="21">
        <v>606201710093</v>
      </c>
      <c r="D2434" s="20">
        <f>941248.46/1000</f>
        <v>941.24845999999991</v>
      </c>
      <c r="E2434" s="20"/>
    </row>
    <row r="2435" spans="1:5">
      <c r="A2435" s="24">
        <v>100</v>
      </c>
      <c r="B2435" s="18" t="s">
        <v>2360</v>
      </c>
      <c r="C2435" s="21">
        <v>1303201510173</v>
      </c>
      <c r="D2435" s="20">
        <f>925134.26/1000</f>
        <v>925.13426000000004</v>
      </c>
      <c r="E2435" s="20"/>
    </row>
    <row r="2436" spans="1:5">
      <c r="A2436" s="24">
        <v>101</v>
      </c>
      <c r="B2436" s="18" t="s">
        <v>3202</v>
      </c>
      <c r="C2436" s="21">
        <v>1306201910048</v>
      </c>
      <c r="D2436" s="20">
        <f>925564.96/1000</f>
        <v>925.56495999999993</v>
      </c>
      <c r="E2436" s="20"/>
    </row>
    <row r="2437" spans="1:5">
      <c r="A2437" s="24">
        <v>102</v>
      </c>
      <c r="B2437" s="18" t="s">
        <v>1583</v>
      </c>
      <c r="C2437" s="21">
        <v>11510196600031</v>
      </c>
      <c r="D2437" s="20">
        <f>911263.3/1000</f>
        <v>911.26330000000007</v>
      </c>
      <c r="E2437" s="20"/>
    </row>
    <row r="2438" spans="1:5">
      <c r="A2438" s="24">
        <v>103</v>
      </c>
      <c r="B2438" s="18" t="s">
        <v>2359</v>
      </c>
      <c r="C2438" s="21">
        <v>402201310043</v>
      </c>
      <c r="D2438" s="20">
        <f>893408.81/1000</f>
        <v>893.40881000000002</v>
      </c>
      <c r="E2438" s="20"/>
    </row>
    <row r="2439" spans="1:5">
      <c r="A2439" s="24">
        <v>104</v>
      </c>
      <c r="B2439" s="18" t="s">
        <v>3217</v>
      </c>
      <c r="C2439" s="21">
        <v>2401201810015</v>
      </c>
      <c r="D2439" s="20">
        <f>971430.3/1000</f>
        <v>971.4303000000001</v>
      </c>
      <c r="E2439" s="20"/>
    </row>
    <row r="2440" spans="1:5">
      <c r="A2440" s="24">
        <v>105</v>
      </c>
      <c r="B2440" s="18" t="s">
        <v>2361</v>
      </c>
      <c r="C2440" s="21">
        <v>1211201410057</v>
      </c>
      <c r="D2440" s="20">
        <f>888390.33/1000</f>
        <v>888.39032999999995</v>
      </c>
      <c r="E2440" s="20"/>
    </row>
    <row r="2441" spans="1:5">
      <c r="A2441" s="24">
        <v>106</v>
      </c>
      <c r="B2441" s="18" t="s">
        <v>1952</v>
      </c>
      <c r="C2441" s="21">
        <v>22208200400947</v>
      </c>
      <c r="D2441" s="20">
        <f>909758.27/1000</f>
        <v>909.75827000000004</v>
      </c>
      <c r="E2441" s="20"/>
    </row>
    <row r="2442" spans="1:5">
      <c r="A2442" s="24">
        <v>107</v>
      </c>
      <c r="B2442" s="18" t="s">
        <v>2362</v>
      </c>
      <c r="C2442" s="21">
        <v>1809201510133</v>
      </c>
      <c r="D2442" s="20">
        <f>872084.08/1000</f>
        <v>872.08407999999997</v>
      </c>
      <c r="E2442" s="20"/>
    </row>
    <row r="2443" spans="1:5">
      <c r="A2443" s="24">
        <v>108</v>
      </c>
      <c r="B2443" s="18" t="s">
        <v>626</v>
      </c>
      <c r="C2443" s="21">
        <v>2911201310011</v>
      </c>
      <c r="D2443" s="20">
        <f>855825.44/1000</f>
        <v>855.82543999999996</v>
      </c>
      <c r="E2443" s="20"/>
    </row>
    <row r="2444" spans="1:5">
      <c r="A2444" s="24">
        <v>109</v>
      </c>
      <c r="B2444" s="18" t="s">
        <v>1140</v>
      </c>
      <c r="C2444" s="21">
        <v>2909202010020</v>
      </c>
      <c r="D2444" s="20">
        <f>853285.39/1000</f>
        <v>853.28539000000001</v>
      </c>
      <c r="E2444" s="20"/>
    </row>
    <row r="2445" spans="1:5">
      <c r="A2445" s="24">
        <v>110</v>
      </c>
      <c r="B2445" s="18" t="s">
        <v>2363</v>
      </c>
      <c r="C2445" s="21">
        <v>606201210010</v>
      </c>
      <c r="D2445" s="20">
        <f>841364.48/1000</f>
        <v>841.36447999999996</v>
      </c>
      <c r="E2445" s="20"/>
    </row>
    <row r="2446" spans="1:5">
      <c r="A2446" s="24">
        <v>111</v>
      </c>
      <c r="B2446" s="18" t="s">
        <v>3191</v>
      </c>
      <c r="C2446" s="21">
        <v>21604199000295</v>
      </c>
      <c r="D2446" s="20">
        <f>828611.98/1000</f>
        <v>828.61198000000002</v>
      </c>
      <c r="E2446" s="20"/>
    </row>
    <row r="2447" spans="1:5">
      <c r="A2447" s="24">
        <v>112</v>
      </c>
      <c r="B2447" s="18" t="s">
        <v>1808</v>
      </c>
      <c r="C2447" s="21">
        <v>21309198901122</v>
      </c>
      <c r="D2447" s="20">
        <f>811186.21/1000</f>
        <v>811.18620999999996</v>
      </c>
      <c r="E2447" s="20"/>
    </row>
    <row r="2448" spans="1:5">
      <c r="A2448" s="24">
        <v>113</v>
      </c>
      <c r="B2448" s="18" t="s">
        <v>1953</v>
      </c>
      <c r="C2448" s="21">
        <v>2111200810130</v>
      </c>
      <c r="D2448" s="20">
        <f>807102.72/1000</f>
        <v>807.10271999999998</v>
      </c>
      <c r="E2448" s="20"/>
    </row>
    <row r="2449" spans="1:5">
      <c r="A2449" s="24">
        <v>114</v>
      </c>
      <c r="B2449" s="18" t="s">
        <v>593</v>
      </c>
      <c r="C2449" s="21">
        <v>20602196400788</v>
      </c>
      <c r="D2449" s="20">
        <f>800000/1000</f>
        <v>800</v>
      </c>
      <c r="E2449" s="20"/>
    </row>
    <row r="2450" spans="1:5">
      <c r="A2450" s="24">
        <v>115</v>
      </c>
      <c r="B2450" s="18" t="s">
        <v>2364</v>
      </c>
      <c r="C2450" s="21">
        <v>22006197200646</v>
      </c>
      <c r="D2450" s="20">
        <f>800000/1000</f>
        <v>800</v>
      </c>
      <c r="E2450" s="20"/>
    </row>
    <row r="2451" spans="1:5">
      <c r="A2451" s="24">
        <v>116</v>
      </c>
      <c r="B2451" s="18" t="s">
        <v>3218</v>
      </c>
      <c r="C2451" s="21">
        <v>1302200810237</v>
      </c>
      <c r="D2451" s="20">
        <f>782138.62/1000</f>
        <v>782.13861999999995</v>
      </c>
      <c r="E2451" s="20"/>
    </row>
    <row r="2452" spans="1:5">
      <c r="A2452" s="24">
        <v>117</v>
      </c>
      <c r="B2452" s="18" t="s">
        <v>599</v>
      </c>
      <c r="C2452" s="21">
        <v>21011199101705</v>
      </c>
      <c r="D2452" s="20">
        <f>817055.53/1000</f>
        <v>817.05552999999998</v>
      </c>
      <c r="E2452" s="20"/>
    </row>
    <row r="2453" spans="1:5">
      <c r="A2453" s="24">
        <v>118</v>
      </c>
      <c r="B2453" s="18" t="s">
        <v>3192</v>
      </c>
      <c r="C2453" s="21">
        <v>22510200001408</v>
      </c>
      <c r="D2453" s="20">
        <f>760311.82/1000</f>
        <v>760.3118199999999</v>
      </c>
      <c r="E2453" s="20"/>
    </row>
    <row r="2454" spans="1:5">
      <c r="A2454" s="24">
        <v>119</v>
      </c>
      <c r="B2454" s="18" t="s">
        <v>3219</v>
      </c>
      <c r="C2454" s="21">
        <v>2108200210012</v>
      </c>
      <c r="D2454" s="20">
        <f>763555/1000</f>
        <v>763.55499999999995</v>
      </c>
      <c r="E2454" s="20"/>
    </row>
    <row r="2455" spans="1:5">
      <c r="A2455" s="24">
        <v>120</v>
      </c>
      <c r="B2455" s="18" t="s">
        <v>1584</v>
      </c>
      <c r="C2455" s="21">
        <v>903200610461</v>
      </c>
      <c r="D2455" s="20">
        <f>746039.61/1000</f>
        <v>746.03961000000004</v>
      </c>
      <c r="E2455" s="20"/>
    </row>
    <row r="2456" spans="1:5">
      <c r="A2456" s="24">
        <v>121</v>
      </c>
      <c r="B2456" s="18" t="s">
        <v>3193</v>
      </c>
      <c r="C2456" s="21">
        <v>22512197200443</v>
      </c>
      <c r="D2456" s="20">
        <f>732356.65/1000</f>
        <v>732.35665000000006</v>
      </c>
      <c r="E2456" s="20"/>
    </row>
    <row r="2457" spans="1:5">
      <c r="A2457" s="24">
        <v>122</v>
      </c>
      <c r="B2457" s="18" t="s">
        <v>3201</v>
      </c>
      <c r="C2457" s="21">
        <v>1901201110035</v>
      </c>
      <c r="D2457" s="20">
        <f>724546.22/1000</f>
        <v>724.54621999999995</v>
      </c>
      <c r="E2457" s="20"/>
    </row>
    <row r="2458" spans="1:5">
      <c r="A2458" s="24">
        <v>123</v>
      </c>
      <c r="B2458" s="18" t="s">
        <v>978</v>
      </c>
      <c r="C2458" s="21">
        <v>21105198200816</v>
      </c>
      <c r="D2458" s="20">
        <f>688887.15/1000</f>
        <v>688.88715000000002</v>
      </c>
      <c r="E2458" s="20"/>
    </row>
    <row r="2459" spans="1:5">
      <c r="A2459" s="24">
        <v>124</v>
      </c>
      <c r="B2459" s="18" t="s">
        <v>598</v>
      </c>
      <c r="C2459" s="21">
        <v>21204196101378</v>
      </c>
      <c r="D2459" s="20">
        <f>678000/1000</f>
        <v>678</v>
      </c>
      <c r="E2459" s="20"/>
    </row>
    <row r="2460" spans="1:5">
      <c r="A2460" s="24">
        <v>125</v>
      </c>
      <c r="B2460" s="18" t="s">
        <v>1136</v>
      </c>
      <c r="C2460" s="21">
        <v>22304199100742</v>
      </c>
      <c r="D2460" s="20">
        <f>664061.71/1000</f>
        <v>664.06170999999995</v>
      </c>
      <c r="E2460" s="20"/>
    </row>
    <row r="2461" spans="1:5">
      <c r="A2461" s="24">
        <v>126</v>
      </c>
      <c r="B2461" s="18" t="s">
        <v>979</v>
      </c>
      <c r="C2461" s="21">
        <v>23003196500325</v>
      </c>
      <c r="D2461" s="20">
        <f>631275/1000</f>
        <v>631.27499999999998</v>
      </c>
      <c r="E2461" s="20"/>
    </row>
    <row r="2462" spans="1:5">
      <c r="A2462" s="24">
        <v>127</v>
      </c>
      <c r="B2462" s="18" t="s">
        <v>980</v>
      </c>
      <c r="C2462" s="21">
        <v>20906195810077</v>
      </c>
      <c r="D2462" s="20">
        <f>626220/1000</f>
        <v>626.22</v>
      </c>
      <c r="E2462" s="20"/>
    </row>
    <row r="2463" spans="1:5">
      <c r="A2463" s="24">
        <v>128</v>
      </c>
      <c r="B2463" s="18" t="s">
        <v>1950</v>
      </c>
      <c r="C2463" s="21">
        <v>21611196200098</v>
      </c>
      <c r="D2463" s="20">
        <f>622033.8/1000</f>
        <v>622.03380000000004</v>
      </c>
      <c r="E2463" s="20"/>
    </row>
    <row r="2464" spans="1:5">
      <c r="A2464" s="24">
        <v>129</v>
      </c>
      <c r="B2464" s="18" t="s">
        <v>3194</v>
      </c>
      <c r="C2464" s="21">
        <v>20905199001891</v>
      </c>
      <c r="D2464" s="20">
        <f>612971.05/1000</f>
        <v>612.97104999999999</v>
      </c>
      <c r="E2464" s="20"/>
    </row>
    <row r="2465" spans="1:5">
      <c r="A2465" s="24">
        <v>130</v>
      </c>
      <c r="B2465" s="18" t="s">
        <v>1020</v>
      </c>
      <c r="C2465" s="21">
        <v>21203198300255</v>
      </c>
      <c r="D2465" s="20">
        <f>606198.55/1000</f>
        <v>606.19855000000007</v>
      </c>
      <c r="E2465" s="20"/>
    </row>
    <row r="2466" spans="1:5">
      <c r="A2466" s="24">
        <v>131</v>
      </c>
      <c r="B2466" s="18" t="s">
        <v>3195</v>
      </c>
      <c r="C2466" s="21">
        <v>1511199410045</v>
      </c>
      <c r="D2466" s="20">
        <f>602555.11/1000</f>
        <v>602.55511000000001</v>
      </c>
      <c r="E2466" s="20"/>
    </row>
    <row r="2467" spans="1:5">
      <c r="A2467" s="24">
        <v>132</v>
      </c>
      <c r="B2467" s="18" t="s">
        <v>2366</v>
      </c>
      <c r="C2467" s="21">
        <v>2203201910029</v>
      </c>
      <c r="D2467" s="20">
        <f>602438.38/1000</f>
        <v>602.43838000000005</v>
      </c>
      <c r="E2467" s="20"/>
    </row>
    <row r="2468" spans="1:5">
      <c r="A2468" s="24">
        <v>133</v>
      </c>
      <c r="B2468" s="18" t="s">
        <v>981</v>
      </c>
      <c r="C2468" s="21">
        <v>21103198200627</v>
      </c>
      <c r="D2468" s="20">
        <f>581174/1000</f>
        <v>581.17399999999998</v>
      </c>
      <c r="E2468" s="20"/>
    </row>
    <row r="2469" spans="1:5">
      <c r="A2469" s="24">
        <v>134</v>
      </c>
      <c r="B2469" s="18" t="s">
        <v>2367</v>
      </c>
      <c r="C2469" s="21">
        <v>504202310172</v>
      </c>
      <c r="D2469" s="20">
        <f>577085.49/1000</f>
        <v>577.08548999999994</v>
      </c>
      <c r="E2469" s="20"/>
    </row>
    <row r="2470" spans="1:5">
      <c r="A2470" s="24">
        <v>135</v>
      </c>
      <c r="B2470" s="18" t="s">
        <v>600</v>
      </c>
      <c r="C2470" s="21">
        <v>21101197700615</v>
      </c>
      <c r="D2470" s="20">
        <f>579026.25/1000</f>
        <v>579.02625</v>
      </c>
      <c r="E2470" s="20"/>
    </row>
    <row r="2471" spans="1:5">
      <c r="A2471" s="24">
        <v>136</v>
      </c>
      <c r="B2471" s="18" t="s">
        <v>1022</v>
      </c>
      <c r="C2471" s="21">
        <v>20608199700922</v>
      </c>
      <c r="D2471" s="20">
        <f>562334.72/1000</f>
        <v>562.33471999999995</v>
      </c>
      <c r="E2471" s="20"/>
    </row>
    <row r="2472" spans="1:5">
      <c r="A2472" s="24">
        <v>137</v>
      </c>
      <c r="B2472" s="18" t="s">
        <v>601</v>
      </c>
      <c r="C2472" s="21">
        <v>1212201910083</v>
      </c>
      <c r="D2472" s="20">
        <f>570156.34/1000</f>
        <v>570.15634</v>
      </c>
      <c r="E2472" s="20"/>
    </row>
    <row r="2473" spans="1:5">
      <c r="A2473" s="24">
        <v>138</v>
      </c>
      <c r="B2473" s="18" t="s">
        <v>605</v>
      </c>
      <c r="C2473" s="21">
        <v>1612201610049</v>
      </c>
      <c r="D2473" s="20">
        <f>548486/1000</f>
        <v>548.48599999999999</v>
      </c>
      <c r="E2473" s="20"/>
    </row>
    <row r="2474" spans="1:5">
      <c r="A2474" s="24">
        <v>139</v>
      </c>
      <c r="B2474" s="18" t="s">
        <v>1809</v>
      </c>
      <c r="C2474" s="21">
        <v>21006198500141</v>
      </c>
      <c r="D2474" s="20">
        <f>544446/1000</f>
        <v>544.44600000000003</v>
      </c>
      <c r="E2474" s="20"/>
    </row>
    <row r="2475" spans="1:5">
      <c r="A2475" s="24">
        <v>140</v>
      </c>
      <c r="B2475" s="18" t="s">
        <v>594</v>
      </c>
      <c r="C2475" s="21">
        <v>10701199600948</v>
      </c>
      <c r="D2475" s="20">
        <f>538666/1000</f>
        <v>538.66600000000005</v>
      </c>
      <c r="E2475" s="20"/>
    </row>
    <row r="2476" spans="1:5">
      <c r="A2476" s="24">
        <v>141</v>
      </c>
      <c r="B2476" s="18" t="s">
        <v>621</v>
      </c>
      <c r="C2476" s="21">
        <v>22703198800321</v>
      </c>
      <c r="D2476" s="20">
        <f>538380/1000</f>
        <v>538.38</v>
      </c>
      <c r="E2476" s="20"/>
    </row>
    <row r="2477" spans="1:5">
      <c r="A2477" s="24">
        <v>142</v>
      </c>
      <c r="B2477" s="18" t="s">
        <v>606</v>
      </c>
      <c r="C2477" s="21">
        <v>21506196801068</v>
      </c>
      <c r="D2477" s="20">
        <f>553447.28/1000</f>
        <v>553.44727999999998</v>
      </c>
      <c r="E2477" s="20"/>
    </row>
    <row r="2478" spans="1:5">
      <c r="A2478" s="24">
        <v>143</v>
      </c>
      <c r="B2478" s="18" t="s">
        <v>3220</v>
      </c>
      <c r="C2478" s="21">
        <v>41906201810054</v>
      </c>
      <c r="D2478" s="20">
        <f>625356.54/1000</f>
        <v>625.35654</v>
      </c>
      <c r="E2478" s="20"/>
    </row>
    <row r="2479" spans="1:5">
      <c r="A2479" s="24">
        <v>144</v>
      </c>
      <c r="B2479" s="18" t="s">
        <v>1810</v>
      </c>
      <c r="C2479" s="21">
        <v>10205196500816</v>
      </c>
      <c r="D2479" s="20">
        <f>525092.32/1000</f>
        <v>525.09231999999997</v>
      </c>
      <c r="E2479" s="20"/>
    </row>
    <row r="2480" spans="1:5">
      <c r="A2480" s="24">
        <v>145</v>
      </c>
      <c r="B2480" s="18" t="s">
        <v>3196</v>
      </c>
      <c r="C2480" s="21">
        <v>3012202210260</v>
      </c>
      <c r="D2480" s="20">
        <f>522965.65/1000</f>
        <v>522.96564999999998</v>
      </c>
      <c r="E2480" s="20"/>
    </row>
    <row r="2481" spans="1:5">
      <c r="A2481" s="24">
        <v>146</v>
      </c>
      <c r="B2481" s="18" t="s">
        <v>3221</v>
      </c>
      <c r="C2481" s="21">
        <v>101199410064</v>
      </c>
      <c r="D2481" s="20">
        <f>519550.15/1000</f>
        <v>519.55015000000003</v>
      </c>
      <c r="E2481" s="20"/>
    </row>
    <row r="2482" spans="1:5">
      <c r="A2482" s="24">
        <v>147</v>
      </c>
      <c r="B2482" s="18" t="s">
        <v>3197</v>
      </c>
      <c r="C2482" s="21">
        <v>2506202110140</v>
      </c>
      <c r="D2482" s="20">
        <f>517981.07/1000</f>
        <v>517.98107000000005</v>
      </c>
      <c r="E2482" s="20"/>
    </row>
    <row r="2483" spans="1:5">
      <c r="A2483" s="24">
        <v>148</v>
      </c>
      <c r="B2483" s="18" t="s">
        <v>1811</v>
      </c>
      <c r="C2483" s="21">
        <v>12812196800721</v>
      </c>
      <c r="D2483" s="20">
        <f>511524.53/1000</f>
        <v>511.52453000000003</v>
      </c>
      <c r="E2483" s="20"/>
    </row>
    <row r="2484" spans="1:5">
      <c r="A2484" s="24">
        <v>149</v>
      </c>
      <c r="B2484" s="18" t="s">
        <v>1812</v>
      </c>
      <c r="C2484" s="21">
        <v>21912198900245</v>
      </c>
      <c r="D2484" s="20">
        <f>510368/1000</f>
        <v>510.36799999999999</v>
      </c>
      <c r="E2484" s="20"/>
    </row>
    <row r="2485" spans="1:5">
      <c r="A2485" s="24">
        <v>150</v>
      </c>
      <c r="B2485" s="18" t="s">
        <v>3227</v>
      </c>
      <c r="C2485" s="21" t="s">
        <v>3222</v>
      </c>
      <c r="D2485" s="20"/>
      <c r="E2485" s="20">
        <v>2286.8202500000002</v>
      </c>
    </row>
    <row r="2486" spans="1:5">
      <c r="A2486" s="24">
        <v>151</v>
      </c>
      <c r="B2486" s="18" t="s">
        <v>3228</v>
      </c>
      <c r="C2486" s="21" t="s">
        <v>3223</v>
      </c>
      <c r="D2486" s="20"/>
      <c r="E2486" s="20">
        <v>878.13705000000004</v>
      </c>
    </row>
    <row r="2487" spans="1:5">
      <c r="A2487" s="24">
        <v>152</v>
      </c>
      <c r="B2487" s="18" t="s">
        <v>3229</v>
      </c>
      <c r="C2487" s="21" t="s">
        <v>3224</v>
      </c>
      <c r="D2487" s="20"/>
      <c r="E2487" s="20">
        <v>642.83159000000012</v>
      </c>
    </row>
    <row r="2488" spans="1:5">
      <c r="A2488" s="24">
        <v>153</v>
      </c>
      <c r="B2488" s="18" t="s">
        <v>3230</v>
      </c>
      <c r="C2488" s="21" t="s">
        <v>3225</v>
      </c>
      <c r="D2488" s="20"/>
      <c r="E2488" s="20">
        <v>522.74914000000001</v>
      </c>
    </row>
    <row r="2489" spans="1:5" ht="31.5">
      <c r="A2489" s="24">
        <v>154</v>
      </c>
      <c r="B2489" s="18" t="s">
        <v>3231</v>
      </c>
      <c r="C2489" s="21" t="s">
        <v>3226</v>
      </c>
      <c r="D2489" s="20"/>
      <c r="E2489" s="20">
        <v>500.94830999999994</v>
      </c>
    </row>
    <row r="2490" spans="1:5">
      <c r="A2490" s="24"/>
      <c r="B2490" s="25" t="s">
        <v>2</v>
      </c>
      <c r="C2490" s="27"/>
      <c r="D2490" s="35">
        <f>SUM(D2336:D2489)</f>
        <v>746395.00394999993</v>
      </c>
      <c r="E2490" s="35">
        <f>SUM(E2336:E2489)</f>
        <v>8000.6863400000002</v>
      </c>
    </row>
    <row r="2491" spans="1:5">
      <c r="A2491" s="4" t="s">
        <v>1585</v>
      </c>
      <c r="B2491" s="4"/>
      <c r="C2491" s="4"/>
      <c r="D2491" s="4"/>
      <c r="E2491" s="4"/>
    </row>
    <row r="2492" spans="1:5">
      <c r="A2492" s="17">
        <v>1</v>
      </c>
      <c r="B2492" s="18" t="s">
        <v>1876</v>
      </c>
      <c r="C2492" s="19">
        <v>2803202210143</v>
      </c>
      <c r="D2492" s="20">
        <f>7346682.82/1000</f>
        <v>7346.68282</v>
      </c>
      <c r="E2492" s="20">
        <v>1988.8</v>
      </c>
    </row>
    <row r="2493" spans="1:5">
      <c r="A2493" s="17">
        <v>2</v>
      </c>
      <c r="B2493" s="18" t="s">
        <v>3183</v>
      </c>
      <c r="C2493" s="19">
        <v>810200810129</v>
      </c>
      <c r="D2493" s="20">
        <f>2631186.4/1000</f>
        <v>2631.1864</v>
      </c>
      <c r="E2493" s="20"/>
    </row>
    <row r="2494" spans="1:5">
      <c r="A2494" s="17">
        <v>3</v>
      </c>
      <c r="B2494" s="18" t="s">
        <v>3184</v>
      </c>
      <c r="C2494" s="19">
        <v>2308202110055</v>
      </c>
      <c r="D2494" s="20">
        <f>2067245.51/1000</f>
        <v>2067.2455100000002</v>
      </c>
      <c r="E2494" s="20"/>
    </row>
    <row r="2495" spans="1:5">
      <c r="A2495" s="24"/>
      <c r="B2495" s="25" t="s">
        <v>2</v>
      </c>
      <c r="C2495" s="27"/>
      <c r="D2495" s="35">
        <f>SUM(D2492:D2494)</f>
        <v>12045.114730000001</v>
      </c>
      <c r="E2495" s="35">
        <f>SUM(E2492:E2494)</f>
        <v>1988.8</v>
      </c>
    </row>
    <row r="2496" spans="1:5">
      <c r="A2496" s="4" t="s">
        <v>36</v>
      </c>
      <c r="B2496" s="4"/>
      <c r="C2496" s="4"/>
      <c r="D2496" s="4"/>
      <c r="E2496" s="4"/>
    </row>
    <row r="2497" spans="1:5">
      <c r="A2497" s="17">
        <v>1</v>
      </c>
      <c r="B2497" s="18" t="s">
        <v>583</v>
      </c>
      <c r="C2497" s="19">
        <v>1801201410024</v>
      </c>
      <c r="D2497" s="20">
        <f>370831630/1000</f>
        <v>370831.63</v>
      </c>
      <c r="E2497" s="20"/>
    </row>
    <row r="2498" spans="1:5">
      <c r="A2498" s="17">
        <v>2</v>
      </c>
      <c r="B2498" s="18" t="s">
        <v>397</v>
      </c>
      <c r="C2498" s="19">
        <v>1903201310104</v>
      </c>
      <c r="D2498" s="20">
        <f>69816155.68/1000</f>
        <v>69816.155680000011</v>
      </c>
      <c r="E2498" s="20"/>
    </row>
    <row r="2499" spans="1:5">
      <c r="A2499" s="17">
        <v>3</v>
      </c>
      <c r="B2499" s="18" t="s">
        <v>398</v>
      </c>
      <c r="C2499" s="19">
        <v>805200710117</v>
      </c>
      <c r="D2499" s="20">
        <f>60118703.5/1000</f>
        <v>60118.703500000003</v>
      </c>
      <c r="E2499" s="20"/>
    </row>
    <row r="2500" spans="1:5">
      <c r="A2500" s="17">
        <v>4</v>
      </c>
      <c r="B2500" s="18" t="s">
        <v>93</v>
      </c>
      <c r="C2500" s="19">
        <v>704200410169</v>
      </c>
      <c r="D2500" s="20">
        <f>41472668.86/1000</f>
        <v>41472.668859999998</v>
      </c>
      <c r="E2500" s="20">
        <v>2844.3</v>
      </c>
    </row>
    <row r="2501" spans="1:5">
      <c r="A2501" s="17">
        <v>5</v>
      </c>
      <c r="B2501" s="18" t="s">
        <v>399</v>
      </c>
      <c r="C2501" s="19">
        <v>2706201210032</v>
      </c>
      <c r="D2501" s="20">
        <f>15624094.8/1000</f>
        <v>15624.094800000001</v>
      </c>
      <c r="E2501" s="20"/>
    </row>
    <row r="2502" spans="1:5">
      <c r="A2502" s="17">
        <v>6</v>
      </c>
      <c r="B2502" s="18" t="s">
        <v>400</v>
      </c>
      <c r="C2502" s="19">
        <v>2007201210040</v>
      </c>
      <c r="D2502" s="20">
        <f>14813270.43/1000</f>
        <v>14813.27043</v>
      </c>
      <c r="E2502" s="20"/>
    </row>
    <row r="2503" spans="1:5">
      <c r="A2503" s="17">
        <v>7</v>
      </c>
      <c r="B2503" s="18" t="s">
        <v>401</v>
      </c>
      <c r="C2503" s="19">
        <v>2701201110187</v>
      </c>
      <c r="D2503" s="20">
        <f>13107427.19/1000</f>
        <v>13107.42719</v>
      </c>
      <c r="E2503" s="20"/>
    </row>
    <row r="2504" spans="1:5">
      <c r="A2504" s="17">
        <v>8</v>
      </c>
      <c r="B2504" s="18" t="s">
        <v>402</v>
      </c>
      <c r="C2504" s="19">
        <v>604201210080</v>
      </c>
      <c r="D2504" s="20">
        <f>12651513.04/1000</f>
        <v>12651.51304</v>
      </c>
      <c r="E2504" s="20"/>
    </row>
    <row r="2505" spans="1:5">
      <c r="A2505" s="17">
        <v>9</v>
      </c>
      <c r="B2505" s="18" t="s">
        <v>1945</v>
      </c>
      <c r="C2505" s="19">
        <v>2911201910036</v>
      </c>
      <c r="D2505" s="20">
        <f>11610353.58/1000</f>
        <v>11610.353580000001</v>
      </c>
      <c r="E2505" s="20"/>
    </row>
    <row r="2506" spans="1:5">
      <c r="A2506" s="17">
        <v>10</v>
      </c>
      <c r="B2506" s="18" t="s">
        <v>403</v>
      </c>
      <c r="C2506" s="19">
        <v>2801201310056</v>
      </c>
      <c r="D2506" s="20">
        <f>5932989.29/1000</f>
        <v>5932.9892900000004</v>
      </c>
      <c r="E2506" s="20"/>
    </row>
    <row r="2507" spans="1:5">
      <c r="A2507" s="17">
        <v>11</v>
      </c>
      <c r="B2507" s="18" t="s">
        <v>1031</v>
      </c>
      <c r="C2507" s="19">
        <v>2412201910080</v>
      </c>
      <c r="D2507" s="20">
        <f>5771238.22/1000</f>
        <v>5771.2382200000002</v>
      </c>
      <c r="E2507" s="20"/>
    </row>
    <row r="2508" spans="1:5">
      <c r="A2508" s="17">
        <v>12</v>
      </c>
      <c r="B2508" s="18" t="s">
        <v>2340</v>
      </c>
      <c r="C2508" s="19">
        <v>1703202010101</v>
      </c>
      <c r="D2508" s="20">
        <f>4979351.11/1000</f>
        <v>4979.3511100000005</v>
      </c>
      <c r="E2508" s="20"/>
    </row>
    <row r="2509" spans="1:5">
      <c r="A2509" s="17">
        <v>13</v>
      </c>
      <c r="B2509" s="18" t="s">
        <v>3170</v>
      </c>
      <c r="C2509" s="19">
        <v>1210202210030</v>
      </c>
      <c r="D2509" s="20">
        <f>4910886.65/1000</f>
        <v>4910.8866500000004</v>
      </c>
      <c r="E2509" s="20"/>
    </row>
    <row r="2510" spans="1:5">
      <c r="A2510" s="17">
        <v>14</v>
      </c>
      <c r="B2510" s="18" t="s">
        <v>1577</v>
      </c>
      <c r="C2510" s="19">
        <v>21411194600089</v>
      </c>
      <c r="D2510" s="20">
        <f>4766478.76/1000</f>
        <v>4766.47876</v>
      </c>
      <c r="E2510" s="20"/>
    </row>
    <row r="2511" spans="1:5">
      <c r="A2511" s="17">
        <v>15</v>
      </c>
      <c r="B2511" s="18" t="s">
        <v>1817</v>
      </c>
      <c r="C2511" s="19">
        <v>2402202310029</v>
      </c>
      <c r="D2511" s="20">
        <f>4205085.27/1000</f>
        <v>4205.0852699999996</v>
      </c>
      <c r="E2511" s="20"/>
    </row>
    <row r="2512" spans="1:5">
      <c r="A2512" s="17">
        <v>16</v>
      </c>
      <c r="B2512" s="18" t="s">
        <v>1107</v>
      </c>
      <c r="C2512" s="19">
        <v>2702200710038</v>
      </c>
      <c r="D2512" s="20">
        <f>3991518.24/1000</f>
        <v>3991.5182400000003</v>
      </c>
      <c r="E2512" s="20"/>
    </row>
    <row r="2513" spans="1:5">
      <c r="A2513" s="17">
        <v>17</v>
      </c>
      <c r="B2513" s="18" t="s">
        <v>1032</v>
      </c>
      <c r="C2513" s="19">
        <v>21910196010036</v>
      </c>
      <c r="D2513" s="20">
        <f>3503523.55/1000</f>
        <v>3503.5235499999999</v>
      </c>
      <c r="E2513" s="20"/>
    </row>
    <row r="2514" spans="1:5">
      <c r="A2514" s="17">
        <v>18</v>
      </c>
      <c r="B2514" s="18" t="s">
        <v>1946</v>
      </c>
      <c r="C2514" s="19">
        <v>2812200610010</v>
      </c>
      <c r="D2514" s="20">
        <f>3170875.95/1000</f>
        <v>3170.8759500000001</v>
      </c>
      <c r="E2514" s="20"/>
    </row>
    <row r="2515" spans="1:5">
      <c r="A2515" s="17">
        <v>19</v>
      </c>
      <c r="B2515" s="18" t="s">
        <v>1819</v>
      </c>
      <c r="C2515" s="19">
        <v>1607199410013</v>
      </c>
      <c r="D2515" s="20">
        <f>3119613.28/1000</f>
        <v>3119.6132799999996</v>
      </c>
      <c r="E2515" s="20">
        <v>954.7</v>
      </c>
    </row>
    <row r="2516" spans="1:5">
      <c r="A2516" s="17">
        <v>20</v>
      </c>
      <c r="B2516" s="18" t="s">
        <v>1815</v>
      </c>
      <c r="C2516" s="19">
        <v>21406198100339</v>
      </c>
      <c r="D2516" s="20">
        <f>2803726.03/1000</f>
        <v>2803.7260299999998</v>
      </c>
      <c r="E2516" s="20"/>
    </row>
    <row r="2517" spans="1:5">
      <c r="A2517" s="17">
        <v>21</v>
      </c>
      <c r="B2517" s="18" t="s">
        <v>404</v>
      </c>
      <c r="C2517" s="19">
        <v>1201201610228</v>
      </c>
      <c r="D2517" s="20">
        <f>2620809.89/1000</f>
        <v>2620.80989</v>
      </c>
      <c r="E2517" s="20"/>
    </row>
    <row r="2518" spans="1:5">
      <c r="A2518" s="17">
        <v>22</v>
      </c>
      <c r="B2518" s="18" t="s">
        <v>405</v>
      </c>
      <c r="C2518" s="19">
        <v>2803201110074</v>
      </c>
      <c r="D2518" s="20">
        <f>2449797/1000</f>
        <v>2449.797</v>
      </c>
      <c r="E2518" s="20"/>
    </row>
    <row r="2519" spans="1:5">
      <c r="A2519" s="17">
        <v>23</v>
      </c>
      <c r="B2519" s="18" t="s">
        <v>413</v>
      </c>
      <c r="C2519" s="19">
        <v>3008201810176</v>
      </c>
      <c r="D2519" s="20">
        <f>2462974.34/1000</f>
        <v>2462.9743399999998</v>
      </c>
      <c r="E2519" s="20"/>
    </row>
    <row r="2520" spans="1:5">
      <c r="A2520" s="17">
        <v>24</v>
      </c>
      <c r="B2520" s="18" t="s">
        <v>2337</v>
      </c>
      <c r="C2520" s="19">
        <v>1310201510104</v>
      </c>
      <c r="D2520" s="20">
        <f>2251415.11/1000</f>
        <v>2251.4151099999999</v>
      </c>
      <c r="E2520" s="20"/>
    </row>
    <row r="2521" spans="1:5">
      <c r="A2521" s="17">
        <v>25</v>
      </c>
      <c r="B2521" s="18" t="s">
        <v>1816</v>
      </c>
      <c r="C2521" s="19">
        <v>20105199401867</v>
      </c>
      <c r="D2521" s="20">
        <f>1991304/1000</f>
        <v>1991.3040000000001</v>
      </c>
      <c r="E2521" s="20"/>
    </row>
    <row r="2522" spans="1:5">
      <c r="A2522" s="17">
        <v>26</v>
      </c>
      <c r="B2522" s="18" t="s">
        <v>1814</v>
      </c>
      <c r="C2522" s="19">
        <v>21208200250636</v>
      </c>
      <c r="D2522" s="20">
        <f>1954085.16/1000</f>
        <v>1954.0851599999999</v>
      </c>
      <c r="E2522" s="20"/>
    </row>
    <row r="2523" spans="1:5">
      <c r="A2523" s="17">
        <v>27</v>
      </c>
      <c r="B2523" s="18" t="s">
        <v>406</v>
      </c>
      <c r="C2523" s="19">
        <v>21511197300381</v>
      </c>
      <c r="D2523" s="20">
        <f>1843935/1000</f>
        <v>1843.9349999999999</v>
      </c>
      <c r="E2523" s="20"/>
    </row>
    <row r="2524" spans="1:5">
      <c r="A2524" s="17">
        <v>28</v>
      </c>
      <c r="B2524" s="18" t="s">
        <v>1818</v>
      </c>
      <c r="C2524" s="19">
        <v>3105201310057</v>
      </c>
      <c r="D2524" s="20">
        <f>1429535/1000</f>
        <v>1429.5350000000001</v>
      </c>
      <c r="E2524" s="20"/>
    </row>
    <row r="2525" spans="1:5">
      <c r="A2525" s="17">
        <v>29</v>
      </c>
      <c r="B2525" s="18" t="s">
        <v>1034</v>
      </c>
      <c r="C2525" s="19">
        <v>20112196001028</v>
      </c>
      <c r="D2525" s="20">
        <f>1229846.37/1000</f>
        <v>1229.8463700000002</v>
      </c>
      <c r="E2525" s="20"/>
    </row>
    <row r="2526" spans="1:5">
      <c r="A2526" s="17">
        <v>30</v>
      </c>
      <c r="B2526" s="18" t="s">
        <v>2338</v>
      </c>
      <c r="C2526" s="19">
        <v>11207195000488</v>
      </c>
      <c r="D2526" s="20">
        <f>1226699/1000</f>
        <v>1226.6990000000001</v>
      </c>
      <c r="E2526" s="20"/>
    </row>
    <row r="2527" spans="1:5">
      <c r="A2527" s="17">
        <v>31</v>
      </c>
      <c r="B2527" s="18" t="s">
        <v>407</v>
      </c>
      <c r="C2527" s="19">
        <v>22409197000794</v>
      </c>
      <c r="D2527" s="20">
        <f>1213226/1000</f>
        <v>1213.2260000000001</v>
      </c>
      <c r="E2527" s="20"/>
    </row>
    <row r="2528" spans="1:5">
      <c r="A2528" s="17">
        <v>32</v>
      </c>
      <c r="B2528" s="18" t="s">
        <v>1578</v>
      </c>
      <c r="C2528" s="19">
        <v>10812194900215</v>
      </c>
      <c r="D2528" s="20">
        <f>1195650.44/1000</f>
        <v>1195.6504399999999</v>
      </c>
      <c r="E2528" s="20"/>
    </row>
    <row r="2529" spans="1:5">
      <c r="A2529" s="17">
        <v>33</v>
      </c>
      <c r="B2529" s="18" t="s">
        <v>3171</v>
      </c>
      <c r="C2529" s="19">
        <v>2602201810104</v>
      </c>
      <c r="D2529" s="20">
        <f>1165247.52/1000</f>
        <v>1165.2475200000001</v>
      </c>
      <c r="E2529" s="20"/>
    </row>
    <row r="2530" spans="1:5">
      <c r="A2530" s="17">
        <v>34</v>
      </c>
      <c r="B2530" s="18" t="s">
        <v>926</v>
      </c>
      <c r="C2530" s="19">
        <v>21401197510029</v>
      </c>
      <c r="D2530" s="20">
        <f>1076930/1000</f>
        <v>1076.93</v>
      </c>
      <c r="E2530" s="20"/>
    </row>
    <row r="2531" spans="1:5">
      <c r="A2531" s="17">
        <v>35</v>
      </c>
      <c r="B2531" s="18" t="s">
        <v>3172</v>
      </c>
      <c r="C2531" s="19">
        <v>21701197500835</v>
      </c>
      <c r="D2531" s="20">
        <f>1008236.9/1000</f>
        <v>1008.2369</v>
      </c>
      <c r="E2531" s="20"/>
    </row>
    <row r="2532" spans="1:5">
      <c r="A2532" s="17">
        <v>36</v>
      </c>
      <c r="B2532" s="18" t="s">
        <v>409</v>
      </c>
      <c r="C2532" s="19">
        <v>20205197701086</v>
      </c>
      <c r="D2532" s="20">
        <f>946922.36/1000</f>
        <v>946.92236000000003</v>
      </c>
      <c r="E2532" s="20"/>
    </row>
    <row r="2533" spans="1:5">
      <c r="A2533" s="17">
        <v>37</v>
      </c>
      <c r="B2533" s="18" t="s">
        <v>927</v>
      </c>
      <c r="C2533" s="19">
        <v>21609199101171</v>
      </c>
      <c r="D2533" s="20">
        <f>871163.59/1000</f>
        <v>871.16359</v>
      </c>
      <c r="E2533" s="20"/>
    </row>
    <row r="2534" spans="1:5">
      <c r="A2534" s="17">
        <v>38</v>
      </c>
      <c r="B2534" s="18" t="s">
        <v>1579</v>
      </c>
      <c r="C2534" s="19">
        <v>20806198700387</v>
      </c>
      <c r="D2534" s="20">
        <f>864562/1000</f>
        <v>864.56200000000001</v>
      </c>
      <c r="E2534" s="20"/>
    </row>
    <row r="2535" spans="1:5">
      <c r="A2535" s="17">
        <v>39</v>
      </c>
      <c r="B2535" s="18" t="s">
        <v>536</v>
      </c>
      <c r="C2535" s="19">
        <v>1602200010023</v>
      </c>
      <c r="D2535" s="20">
        <f>831710.39/1000</f>
        <v>831.71038999999996</v>
      </c>
      <c r="E2535" s="20"/>
    </row>
    <row r="2536" spans="1:5">
      <c r="A2536" s="17">
        <v>40</v>
      </c>
      <c r="B2536" s="18" t="s">
        <v>408</v>
      </c>
      <c r="C2536" s="19">
        <v>20304198701076</v>
      </c>
      <c r="D2536" s="20">
        <f>807111/1000</f>
        <v>807.11099999999999</v>
      </c>
      <c r="E2536" s="20"/>
    </row>
    <row r="2537" spans="1:5">
      <c r="A2537" s="17">
        <v>41</v>
      </c>
      <c r="B2537" s="18" t="s">
        <v>2339</v>
      </c>
      <c r="C2537" s="19">
        <v>22708198800223</v>
      </c>
      <c r="D2537" s="20">
        <f>776638.64/1000</f>
        <v>776.63864000000001</v>
      </c>
      <c r="E2537" s="20"/>
    </row>
    <row r="2538" spans="1:5">
      <c r="A2538" s="17">
        <v>42</v>
      </c>
      <c r="B2538" s="18" t="s">
        <v>1108</v>
      </c>
      <c r="C2538" s="19">
        <v>22706198100098</v>
      </c>
      <c r="D2538" s="20">
        <f>771880/1000</f>
        <v>771.88</v>
      </c>
      <c r="E2538" s="20"/>
    </row>
    <row r="2539" spans="1:5">
      <c r="A2539" s="17">
        <v>43</v>
      </c>
      <c r="B2539" s="18" t="s">
        <v>3173</v>
      </c>
      <c r="C2539" s="19">
        <v>21709196900837</v>
      </c>
      <c r="D2539" s="20">
        <f>769950/1000</f>
        <v>769.95</v>
      </c>
      <c r="E2539" s="20"/>
    </row>
    <row r="2540" spans="1:5">
      <c r="A2540" s="17">
        <v>44</v>
      </c>
      <c r="B2540" s="18" t="s">
        <v>3174</v>
      </c>
      <c r="C2540" s="19">
        <v>20208198701406</v>
      </c>
      <c r="D2540" s="20">
        <f>738304.34/1000</f>
        <v>738.30433999999991</v>
      </c>
      <c r="E2540" s="20"/>
    </row>
    <row r="2541" spans="1:5">
      <c r="A2541" s="17">
        <v>45</v>
      </c>
      <c r="B2541" s="18" t="s">
        <v>3177</v>
      </c>
      <c r="C2541" s="19">
        <v>2701200010125</v>
      </c>
      <c r="D2541" s="20">
        <f>698080.9/1000</f>
        <v>698.08090000000004</v>
      </c>
      <c r="E2541" s="20"/>
    </row>
    <row r="2542" spans="1:5">
      <c r="A2542" s="17">
        <v>46</v>
      </c>
      <c r="B2542" s="18" t="s">
        <v>1109</v>
      </c>
      <c r="C2542" s="19">
        <v>21110197801100</v>
      </c>
      <c r="D2542" s="20">
        <f>691990/1000</f>
        <v>691.99</v>
      </c>
      <c r="E2542" s="20"/>
    </row>
    <row r="2543" spans="1:5">
      <c r="A2543" s="17">
        <v>47</v>
      </c>
      <c r="B2543" s="18" t="s">
        <v>410</v>
      </c>
      <c r="C2543" s="19">
        <v>1203201310098</v>
      </c>
      <c r="D2543" s="20">
        <f>690439.69/1000</f>
        <v>690.43968999999993</v>
      </c>
      <c r="E2543" s="20"/>
    </row>
    <row r="2544" spans="1:5">
      <c r="A2544" s="17">
        <v>48</v>
      </c>
      <c r="B2544" s="18" t="s">
        <v>2356</v>
      </c>
      <c r="C2544" s="19">
        <v>2801202210103</v>
      </c>
      <c r="D2544" s="20">
        <f>650488.49/1000</f>
        <v>650.48848999999996</v>
      </c>
      <c r="E2544" s="20"/>
    </row>
    <row r="2545" spans="1:5">
      <c r="A2545" s="17">
        <v>49</v>
      </c>
      <c r="B2545" s="18" t="s">
        <v>928</v>
      </c>
      <c r="C2545" s="19">
        <v>10101195500552</v>
      </c>
      <c r="D2545" s="20">
        <f>607216/1000</f>
        <v>607.21600000000001</v>
      </c>
      <c r="E2545" s="20"/>
    </row>
    <row r="2546" spans="1:5">
      <c r="A2546" s="17">
        <v>50</v>
      </c>
      <c r="B2546" s="18" t="s">
        <v>411</v>
      </c>
      <c r="C2546" s="19">
        <v>1511201310294</v>
      </c>
      <c r="D2546" s="20">
        <f>574778/1000</f>
        <v>574.77800000000002</v>
      </c>
      <c r="E2546" s="20"/>
    </row>
    <row r="2547" spans="1:5">
      <c r="A2547" s="17">
        <v>51</v>
      </c>
      <c r="B2547" s="18" t="s">
        <v>3175</v>
      </c>
      <c r="C2547" s="19">
        <v>21410194800245</v>
      </c>
      <c r="D2547" s="20">
        <f>564520/1000</f>
        <v>564.52</v>
      </c>
      <c r="E2547" s="20"/>
    </row>
    <row r="2548" spans="1:5">
      <c r="A2548" s="17">
        <v>52</v>
      </c>
      <c r="B2548" s="18" t="s">
        <v>412</v>
      </c>
      <c r="C2548" s="19">
        <v>2404199710089</v>
      </c>
      <c r="D2548" s="20">
        <f>543963.17/1000</f>
        <v>543.96316999999999</v>
      </c>
      <c r="E2548" s="20"/>
    </row>
    <row r="2549" spans="1:5">
      <c r="A2549" s="17">
        <v>53</v>
      </c>
      <c r="B2549" s="18" t="s">
        <v>3176</v>
      </c>
      <c r="C2549" s="19">
        <v>20511195700149</v>
      </c>
      <c r="D2549" s="20">
        <f>542756/1000</f>
        <v>542.75599999999997</v>
      </c>
      <c r="E2549" s="20"/>
    </row>
    <row r="2550" spans="1:5">
      <c r="A2550" s="17">
        <v>54</v>
      </c>
      <c r="B2550" s="18" t="s">
        <v>1110</v>
      </c>
      <c r="C2550" s="19">
        <v>21104197110034</v>
      </c>
      <c r="D2550" s="20">
        <f>566857.89/1000</f>
        <v>566.85789</v>
      </c>
      <c r="E2550" s="20"/>
    </row>
    <row r="2551" spans="1:5">
      <c r="A2551" s="17">
        <v>55</v>
      </c>
      <c r="B2551" s="18" t="s">
        <v>1033</v>
      </c>
      <c r="C2551" s="19" t="s">
        <v>1609</v>
      </c>
      <c r="D2551" s="20"/>
      <c r="E2551" s="20">
        <v>2510.9187299999999</v>
      </c>
    </row>
    <row r="2552" spans="1:5">
      <c r="A2552" s="17">
        <v>56</v>
      </c>
      <c r="B2552" s="18" t="s">
        <v>3178</v>
      </c>
      <c r="C2552" s="19" t="s">
        <v>1610</v>
      </c>
      <c r="D2552" s="20"/>
      <c r="E2552" s="20">
        <v>1634.2233399999998</v>
      </c>
    </row>
    <row r="2553" spans="1:5">
      <c r="A2553" s="17">
        <v>57</v>
      </c>
      <c r="B2553" s="18" t="s">
        <v>1821</v>
      </c>
      <c r="C2553" s="19" t="s">
        <v>1820</v>
      </c>
      <c r="D2553" s="20"/>
      <c r="E2553" s="20">
        <v>843.41881000000001</v>
      </c>
    </row>
    <row r="2554" spans="1:5">
      <c r="A2554" s="17">
        <v>58</v>
      </c>
      <c r="B2554" s="18" t="s">
        <v>2341</v>
      </c>
      <c r="C2554" s="19" t="s">
        <v>1611</v>
      </c>
      <c r="D2554" s="20"/>
      <c r="E2554" s="20">
        <v>675.57879000000003</v>
      </c>
    </row>
    <row r="2555" spans="1:5">
      <c r="A2555" s="17">
        <v>59</v>
      </c>
      <c r="B2555" s="18" t="s">
        <v>1613</v>
      </c>
      <c r="C2555" s="19" t="s">
        <v>1612</v>
      </c>
      <c r="D2555" s="20"/>
      <c r="E2555" s="20">
        <v>568.28605000000005</v>
      </c>
    </row>
    <row r="2556" spans="1:5">
      <c r="A2556" s="17"/>
      <c r="B2556" s="25" t="s">
        <v>2</v>
      </c>
      <c r="C2556" s="27"/>
      <c r="D2556" s="35">
        <f>SUM(D2497:D2555)</f>
        <v>695830.12762000063</v>
      </c>
      <c r="E2556" s="35">
        <f>SUM(E2497:E2555)</f>
        <v>10031.425719999999</v>
      </c>
    </row>
    <row r="2557" spans="1:5">
      <c r="A2557" s="5" t="s">
        <v>1102</v>
      </c>
      <c r="B2557" s="6"/>
      <c r="C2557" s="6"/>
      <c r="D2557" s="6"/>
      <c r="E2557" s="7"/>
    </row>
    <row r="2558" spans="1:5">
      <c r="A2558" s="17">
        <v>1</v>
      </c>
      <c r="B2558" s="18" t="s">
        <v>1103</v>
      </c>
      <c r="C2558" s="19">
        <v>603200810019</v>
      </c>
      <c r="D2558" s="20">
        <f>8334877/1000</f>
        <v>8334.8770000000004</v>
      </c>
      <c r="E2558" s="20"/>
    </row>
    <row r="2559" spans="1:5">
      <c r="A2559" s="17">
        <v>2</v>
      </c>
      <c r="B2559" s="18" t="s">
        <v>1104</v>
      </c>
      <c r="C2559" s="19">
        <v>2107202110027</v>
      </c>
      <c r="D2559" s="20">
        <f>6700548.25/1000</f>
        <v>6700.5482499999998</v>
      </c>
      <c r="E2559" s="20"/>
    </row>
    <row r="2560" spans="1:5">
      <c r="A2560" s="17">
        <v>3</v>
      </c>
      <c r="B2560" s="18" t="s">
        <v>1846</v>
      </c>
      <c r="C2560" s="19">
        <v>2808201210151</v>
      </c>
      <c r="D2560" s="20">
        <f>4470642.86/1000</f>
        <v>4470.6428599999999</v>
      </c>
      <c r="E2560" s="20"/>
    </row>
    <row r="2561" spans="1:5">
      <c r="A2561" s="17">
        <v>4</v>
      </c>
      <c r="B2561" s="18" t="s">
        <v>1825</v>
      </c>
      <c r="C2561" s="19">
        <v>412200310141</v>
      </c>
      <c r="D2561" s="20">
        <f>3813445.46/1000</f>
        <v>3813.4454599999999</v>
      </c>
      <c r="E2561" s="20"/>
    </row>
    <row r="2562" spans="1:5">
      <c r="A2562" s="17">
        <v>5</v>
      </c>
      <c r="B2562" s="18" t="s">
        <v>1826</v>
      </c>
      <c r="C2562" s="19">
        <v>22510197300430</v>
      </c>
      <c r="D2562" s="20">
        <f>2387498.92/1000</f>
        <v>2387.49892</v>
      </c>
      <c r="E2562" s="20"/>
    </row>
    <row r="2563" spans="1:5">
      <c r="A2563" s="17">
        <v>6</v>
      </c>
      <c r="B2563" s="18" t="s">
        <v>1576</v>
      </c>
      <c r="C2563" s="19">
        <v>3004202110063</v>
      </c>
      <c r="D2563" s="20">
        <f>2111192.66/1000</f>
        <v>2111.1926600000002</v>
      </c>
      <c r="E2563" s="20"/>
    </row>
    <row r="2564" spans="1:5">
      <c r="A2564" s="17">
        <v>7</v>
      </c>
      <c r="B2564" s="18" t="s">
        <v>3167</v>
      </c>
      <c r="C2564" s="19">
        <v>1611201510111</v>
      </c>
      <c r="D2564" s="20">
        <f>1323173.87/1000</f>
        <v>1323.1738700000001</v>
      </c>
      <c r="E2564" s="20"/>
    </row>
    <row r="2565" spans="1:5">
      <c r="A2565" s="17">
        <v>8</v>
      </c>
      <c r="B2565" s="18" t="s">
        <v>1822</v>
      </c>
      <c r="C2565" s="19">
        <v>2011201710109</v>
      </c>
      <c r="D2565" s="20">
        <f>1275741.82/1000</f>
        <v>1275.74182</v>
      </c>
      <c r="E2565" s="20"/>
    </row>
    <row r="2566" spans="1:5">
      <c r="A2566" s="17">
        <v>9</v>
      </c>
      <c r="B2566" s="18" t="s">
        <v>1572</v>
      </c>
      <c r="C2566" s="19">
        <v>1411200610128</v>
      </c>
      <c r="D2566" s="20">
        <f>1119324.73/1000</f>
        <v>1119.32473</v>
      </c>
      <c r="E2566" s="20"/>
    </row>
    <row r="2567" spans="1:5">
      <c r="A2567" s="17">
        <v>10</v>
      </c>
      <c r="B2567" s="18" t="s">
        <v>1823</v>
      </c>
      <c r="C2567" s="19">
        <v>20712194800175</v>
      </c>
      <c r="D2567" s="20">
        <f>998736.24/1000</f>
        <v>998.73623999999995</v>
      </c>
      <c r="E2567" s="20"/>
    </row>
    <row r="2568" spans="1:5">
      <c r="A2568" s="17">
        <v>11</v>
      </c>
      <c r="B2568" s="18" t="s">
        <v>2335</v>
      </c>
      <c r="C2568" s="19">
        <v>21112199002033</v>
      </c>
      <c r="D2568" s="20">
        <f>995939.1/1000</f>
        <v>995.93909999999994</v>
      </c>
      <c r="E2568" s="20"/>
    </row>
    <row r="2569" spans="1:5">
      <c r="A2569" s="17">
        <v>12</v>
      </c>
      <c r="B2569" s="18" t="s">
        <v>2336</v>
      </c>
      <c r="C2569" s="19">
        <v>1506200610030</v>
      </c>
      <c r="D2569" s="20">
        <f>992566.29/1000</f>
        <v>992.56628999999998</v>
      </c>
      <c r="E2569" s="20"/>
    </row>
    <row r="2570" spans="1:5">
      <c r="A2570" s="17">
        <v>13</v>
      </c>
      <c r="B2570" s="18" t="s">
        <v>3169</v>
      </c>
      <c r="C2570" s="19">
        <v>2804199810035</v>
      </c>
      <c r="D2570" s="20">
        <f>847442.67/1000</f>
        <v>847.44267000000002</v>
      </c>
      <c r="E2570" s="20"/>
    </row>
    <row r="2571" spans="1:5">
      <c r="A2571" s="17">
        <v>14</v>
      </c>
      <c r="B2571" s="18" t="s">
        <v>3168</v>
      </c>
      <c r="C2571" s="19">
        <v>41005202210333</v>
      </c>
      <c r="D2571" s="20">
        <f>799838.65/1000</f>
        <v>799.83865000000003</v>
      </c>
      <c r="E2571" s="20"/>
    </row>
    <row r="2572" spans="1:5">
      <c r="A2572" s="17">
        <v>15</v>
      </c>
      <c r="B2572" s="18" t="s">
        <v>1575</v>
      </c>
      <c r="C2572" s="19">
        <v>20406198000607</v>
      </c>
      <c r="D2572" s="20">
        <f>718155.99/1000</f>
        <v>718.15598999999997</v>
      </c>
      <c r="E2572" s="20"/>
    </row>
    <row r="2573" spans="1:5">
      <c r="A2573" s="17">
        <v>16</v>
      </c>
      <c r="B2573" s="18" t="s">
        <v>1573</v>
      </c>
      <c r="C2573" s="19">
        <v>1106201910031</v>
      </c>
      <c r="D2573" s="20">
        <f>709302.07/1000</f>
        <v>709.30206999999996</v>
      </c>
      <c r="E2573" s="20"/>
    </row>
    <row r="2574" spans="1:5">
      <c r="A2574" s="17">
        <v>17</v>
      </c>
      <c r="B2574" s="18" t="s">
        <v>1877</v>
      </c>
      <c r="C2574" s="19">
        <v>903201710248</v>
      </c>
      <c r="D2574" s="20">
        <f>628574.57/1000</f>
        <v>628.57456999999999</v>
      </c>
      <c r="E2574" s="20"/>
    </row>
    <row r="2575" spans="1:5">
      <c r="A2575" s="17">
        <v>18</v>
      </c>
      <c r="B2575" s="18" t="s">
        <v>1105</v>
      </c>
      <c r="C2575" s="19">
        <v>2207200510043</v>
      </c>
      <c r="D2575" s="20">
        <f>614438.58/1000</f>
        <v>614.43858</v>
      </c>
      <c r="E2575" s="20"/>
    </row>
    <row r="2576" spans="1:5">
      <c r="A2576" s="17">
        <v>19</v>
      </c>
      <c r="B2576" s="18" t="s">
        <v>1574</v>
      </c>
      <c r="C2576" s="19">
        <v>12301199800140</v>
      </c>
      <c r="D2576" s="20">
        <f>621546.92/1000</f>
        <v>621.54692</v>
      </c>
      <c r="E2576" s="20"/>
    </row>
    <row r="2577" spans="1:5">
      <c r="A2577" s="17">
        <v>20</v>
      </c>
      <c r="B2577" s="18" t="s">
        <v>1824</v>
      </c>
      <c r="C2577" s="19">
        <v>2402202110111</v>
      </c>
      <c r="D2577" s="20">
        <f>580676.48/1000</f>
        <v>580.67647999999997</v>
      </c>
      <c r="E2577" s="20"/>
    </row>
    <row r="2578" spans="1:5">
      <c r="A2578" s="40"/>
      <c r="B2578" s="25" t="s">
        <v>2</v>
      </c>
      <c r="C2578" s="27"/>
      <c r="D2578" s="35">
        <f>SUM(D2558:D2577)</f>
        <v>40043.663129999994</v>
      </c>
      <c r="E2578" s="35">
        <f>SUM(E2558:E2577)</f>
        <v>0</v>
      </c>
    </row>
    <row r="2579" spans="1:5">
      <c r="A2579" s="4" t="s">
        <v>14</v>
      </c>
      <c r="B2579" s="4"/>
      <c r="C2579" s="4"/>
      <c r="D2579" s="4"/>
      <c r="E2579" s="4"/>
    </row>
    <row r="2580" spans="1:5">
      <c r="A2580" s="17">
        <v>1</v>
      </c>
      <c r="B2580" s="18" t="s">
        <v>414</v>
      </c>
      <c r="C2580" s="19">
        <v>702200710370</v>
      </c>
      <c r="D2580" s="20">
        <f>44914792.78/1000</f>
        <v>44914.792780000003</v>
      </c>
      <c r="E2580" s="20"/>
    </row>
    <row r="2581" spans="1:5">
      <c r="A2581" s="17"/>
      <c r="B2581" s="25" t="s">
        <v>2</v>
      </c>
      <c r="C2581" s="27"/>
      <c r="D2581" s="35">
        <f>SUM(D2580:D2580)</f>
        <v>44914.792780000003</v>
      </c>
      <c r="E2581" s="35">
        <f>SUM(E2580:E2580)</f>
        <v>0</v>
      </c>
    </row>
    <row r="2582" spans="1:5">
      <c r="A2582" s="5" t="s">
        <v>558</v>
      </c>
      <c r="B2582" s="6"/>
      <c r="C2582" s="6"/>
      <c r="D2582" s="6"/>
      <c r="E2582" s="7"/>
    </row>
    <row r="2583" spans="1:5">
      <c r="A2583" s="17">
        <v>1</v>
      </c>
      <c r="B2583" s="18" t="s">
        <v>1052</v>
      </c>
      <c r="C2583" s="19">
        <v>20701199501192</v>
      </c>
      <c r="D2583" s="20">
        <f>25584321.2/1000</f>
        <v>25584.321199999998</v>
      </c>
      <c r="E2583" s="20"/>
    </row>
    <row r="2584" spans="1:5">
      <c r="A2584" s="17">
        <v>2</v>
      </c>
      <c r="B2584" s="18" t="s">
        <v>1053</v>
      </c>
      <c r="C2584" s="19">
        <v>20709198501408</v>
      </c>
      <c r="D2584" s="20">
        <f>5663151.94/1000</f>
        <v>5663.1519400000006</v>
      </c>
      <c r="E2584" s="20"/>
    </row>
    <row r="2585" spans="1:5">
      <c r="A2585" s="17">
        <v>3</v>
      </c>
      <c r="B2585" s="18" t="s">
        <v>1059</v>
      </c>
      <c r="C2585" s="19">
        <v>22905199100933</v>
      </c>
      <c r="D2585" s="20">
        <f>5459808.7/1000</f>
        <v>5459.8087000000005</v>
      </c>
      <c r="E2585" s="20"/>
    </row>
    <row r="2586" spans="1:5">
      <c r="A2586" s="17">
        <v>4</v>
      </c>
      <c r="B2586" s="18" t="s">
        <v>1055</v>
      </c>
      <c r="C2586" s="19">
        <v>21005198900163</v>
      </c>
      <c r="D2586" s="20">
        <f>4828261.89/1000</f>
        <v>4828.2618899999998</v>
      </c>
      <c r="E2586" s="20"/>
    </row>
    <row r="2587" spans="1:5">
      <c r="A2587" s="17">
        <v>5</v>
      </c>
      <c r="B2587" s="18" t="s">
        <v>1062</v>
      </c>
      <c r="C2587" s="19">
        <v>2007200510089</v>
      </c>
      <c r="D2587" s="20">
        <f>4352194.06/1000</f>
        <v>4352.1940599999998</v>
      </c>
      <c r="E2587" s="20"/>
    </row>
    <row r="2588" spans="1:5">
      <c r="A2588" s="17">
        <v>6</v>
      </c>
      <c r="B2588" s="18" t="s">
        <v>1045</v>
      </c>
      <c r="C2588" s="19">
        <v>508201410184</v>
      </c>
      <c r="D2588" s="20">
        <f>3894715.97/1000</f>
        <v>3894.7159700000002</v>
      </c>
      <c r="E2588" s="20"/>
    </row>
    <row r="2589" spans="1:5">
      <c r="A2589" s="17">
        <v>7</v>
      </c>
      <c r="B2589" s="18" t="s">
        <v>3164</v>
      </c>
      <c r="C2589" s="19">
        <v>3006199710064</v>
      </c>
      <c r="D2589" s="20">
        <f>3133207.56/1000</f>
        <v>3133.2075599999998</v>
      </c>
      <c r="E2589" s="20"/>
    </row>
    <row r="2590" spans="1:5">
      <c r="A2590" s="17">
        <v>8</v>
      </c>
      <c r="B2590" s="18" t="s">
        <v>1050</v>
      </c>
      <c r="C2590" s="19">
        <v>20304199101422</v>
      </c>
      <c r="D2590" s="20">
        <f>3034147.24/1000</f>
        <v>3034.1472400000002</v>
      </c>
      <c r="E2590" s="20"/>
    </row>
    <row r="2591" spans="1:5">
      <c r="A2591" s="17">
        <v>9</v>
      </c>
      <c r="B2591" s="18" t="s">
        <v>1827</v>
      </c>
      <c r="C2591" s="19">
        <v>22811197500246</v>
      </c>
      <c r="D2591" s="20">
        <f>2644989.97/1000</f>
        <v>2644.9899700000001</v>
      </c>
      <c r="E2591" s="20"/>
    </row>
    <row r="2592" spans="1:5">
      <c r="A2592" s="17">
        <v>10</v>
      </c>
      <c r="B2592" s="18" t="s">
        <v>1065</v>
      </c>
      <c r="C2592" s="19">
        <v>20909199800518</v>
      </c>
      <c r="D2592" s="20">
        <f>2119423.3/1000</f>
        <v>2119.4232999999999</v>
      </c>
      <c r="E2592" s="20"/>
    </row>
    <row r="2593" spans="1:5">
      <c r="A2593" s="17">
        <v>11</v>
      </c>
      <c r="B2593" s="18" t="s">
        <v>1046</v>
      </c>
      <c r="C2593" s="19">
        <v>1902201410090</v>
      </c>
      <c r="D2593" s="20">
        <f>2086350.13/1000</f>
        <v>2086.3501299999998</v>
      </c>
      <c r="E2593" s="20"/>
    </row>
    <row r="2594" spans="1:5">
      <c r="A2594" s="17">
        <v>12</v>
      </c>
      <c r="B2594" s="18" t="s">
        <v>1570</v>
      </c>
      <c r="C2594" s="19">
        <v>2910200910021</v>
      </c>
      <c r="D2594" s="20">
        <f>2119203.72/1000</f>
        <v>2119.2037200000004</v>
      </c>
      <c r="E2594" s="20"/>
    </row>
    <row r="2595" spans="1:5">
      <c r="A2595" s="17">
        <v>13</v>
      </c>
      <c r="B2595" s="18" t="s">
        <v>1569</v>
      </c>
      <c r="C2595" s="19">
        <v>302201410010</v>
      </c>
      <c r="D2595" s="20">
        <f>1837227.26/1000</f>
        <v>1837.2272600000001</v>
      </c>
      <c r="E2595" s="20"/>
    </row>
    <row r="2596" spans="1:5">
      <c r="A2596" s="17">
        <v>14</v>
      </c>
      <c r="B2596" s="18" t="s">
        <v>1571</v>
      </c>
      <c r="C2596" s="19">
        <v>21211198201369</v>
      </c>
      <c r="D2596" s="20">
        <f>1705871.08/1000</f>
        <v>1705.8710800000001</v>
      </c>
      <c r="E2596" s="20"/>
    </row>
    <row r="2597" spans="1:5">
      <c r="A2597" s="17">
        <v>15</v>
      </c>
      <c r="B2597" s="18" t="s">
        <v>1828</v>
      </c>
      <c r="C2597" s="19">
        <v>21412198300950</v>
      </c>
      <c r="D2597" s="20">
        <f>1703521.07/1000</f>
        <v>1703.52107</v>
      </c>
      <c r="E2597" s="20"/>
    </row>
    <row r="2598" spans="1:5">
      <c r="A2598" s="17">
        <v>16</v>
      </c>
      <c r="B2598" s="18" t="s">
        <v>1060</v>
      </c>
      <c r="C2598" s="19">
        <v>23103197100686</v>
      </c>
      <c r="D2598" s="20">
        <f>1673772/1000</f>
        <v>1673.7719999999999</v>
      </c>
      <c r="E2598" s="20"/>
    </row>
    <row r="2599" spans="1:5">
      <c r="A2599" s="17">
        <v>17</v>
      </c>
      <c r="B2599" s="18" t="s">
        <v>1056</v>
      </c>
      <c r="C2599" s="19">
        <v>22010195410072</v>
      </c>
      <c r="D2599" s="20">
        <f>1538653.4/1000</f>
        <v>1538.6533999999999</v>
      </c>
      <c r="E2599" s="20"/>
    </row>
    <row r="2600" spans="1:5">
      <c r="A2600" s="17">
        <v>18</v>
      </c>
      <c r="B2600" s="18" t="s">
        <v>1054</v>
      </c>
      <c r="C2600" s="19">
        <v>20901199300243</v>
      </c>
      <c r="D2600" s="20">
        <f>1344000/1000</f>
        <v>1344</v>
      </c>
      <c r="E2600" s="20"/>
    </row>
    <row r="2601" spans="1:5">
      <c r="A2601" s="17">
        <v>19</v>
      </c>
      <c r="B2601" s="18" t="s">
        <v>1063</v>
      </c>
      <c r="C2601" s="19">
        <v>2305200110044</v>
      </c>
      <c r="D2601" s="20">
        <f>1209952.72/1000</f>
        <v>1209.95272</v>
      </c>
      <c r="E2601" s="20"/>
    </row>
    <row r="2602" spans="1:5">
      <c r="A2602" s="17">
        <v>20</v>
      </c>
      <c r="B2602" s="18" t="s">
        <v>1051</v>
      </c>
      <c r="C2602" s="19">
        <v>20311196400652</v>
      </c>
      <c r="D2602" s="20">
        <f>1177934.44/1000</f>
        <v>1177.93444</v>
      </c>
      <c r="E2602" s="20"/>
    </row>
    <row r="2603" spans="1:5">
      <c r="A2603" s="17">
        <v>21</v>
      </c>
      <c r="B2603" s="18" t="s">
        <v>1566</v>
      </c>
      <c r="C2603" s="19">
        <v>12204198300999</v>
      </c>
      <c r="D2603" s="20">
        <f>1171082.54/1000</f>
        <v>1171.0825400000001</v>
      </c>
      <c r="E2603" s="20"/>
    </row>
    <row r="2604" spans="1:5">
      <c r="A2604" s="17">
        <v>22</v>
      </c>
      <c r="B2604" s="18" t="s">
        <v>2334</v>
      </c>
      <c r="C2604" s="19">
        <v>104199310065</v>
      </c>
      <c r="D2604" s="20">
        <f>1169935.24/1000</f>
        <v>1169.93524</v>
      </c>
      <c r="E2604" s="20"/>
    </row>
    <row r="2605" spans="1:5">
      <c r="A2605" s="17">
        <v>23</v>
      </c>
      <c r="B2605" s="18" t="s">
        <v>3165</v>
      </c>
      <c r="C2605" s="19">
        <v>1012200910195</v>
      </c>
      <c r="D2605" s="20">
        <f>1083690.09/1000</f>
        <v>1083.6900900000001</v>
      </c>
      <c r="E2605" s="20"/>
    </row>
    <row r="2606" spans="1:5">
      <c r="A2606" s="17">
        <v>24</v>
      </c>
      <c r="B2606" s="18" t="s">
        <v>2333</v>
      </c>
      <c r="C2606" s="19">
        <v>1501201510011</v>
      </c>
      <c r="D2606" s="20">
        <f>1034359.25/1000</f>
        <v>1034.35925</v>
      </c>
      <c r="E2606" s="20"/>
    </row>
    <row r="2607" spans="1:5">
      <c r="A2607" s="17">
        <v>25</v>
      </c>
      <c r="B2607" s="18" t="s">
        <v>1058</v>
      </c>
      <c r="C2607" s="19">
        <v>22512197800491</v>
      </c>
      <c r="D2607" s="20">
        <f>911999.99/1000</f>
        <v>911.99999000000003</v>
      </c>
      <c r="E2607" s="20"/>
    </row>
    <row r="2608" spans="1:5">
      <c r="A2608" s="17">
        <v>26</v>
      </c>
      <c r="B2608" s="18" t="s">
        <v>1061</v>
      </c>
      <c r="C2608" s="19">
        <v>22904197800526</v>
      </c>
      <c r="D2608" s="20">
        <f>813688.09/1000</f>
        <v>813.68808999999999</v>
      </c>
      <c r="E2608" s="20"/>
    </row>
    <row r="2609" spans="1:5">
      <c r="A2609" s="17">
        <v>27</v>
      </c>
      <c r="B2609" s="18" t="s">
        <v>1057</v>
      </c>
      <c r="C2609" s="19">
        <v>22509198000304</v>
      </c>
      <c r="D2609" s="20">
        <f>800288.97/1000</f>
        <v>800.28896999999995</v>
      </c>
      <c r="E2609" s="20"/>
    </row>
    <row r="2610" spans="1:5">
      <c r="A2610" s="17">
        <v>28</v>
      </c>
      <c r="B2610" s="18" t="s">
        <v>3166</v>
      </c>
      <c r="C2610" s="19">
        <v>42308202210105</v>
      </c>
      <c r="D2610" s="20">
        <f>743761.36/1000</f>
        <v>743.76135999999997</v>
      </c>
      <c r="E2610" s="20">
        <v>2803.7</v>
      </c>
    </row>
    <row r="2611" spans="1:5">
      <c r="A2611" s="17">
        <v>29</v>
      </c>
      <c r="B2611" s="18" t="s">
        <v>1048</v>
      </c>
      <c r="C2611" s="19">
        <v>10108195600944</v>
      </c>
      <c r="D2611" s="20">
        <f>668270.4/1000</f>
        <v>668.2704</v>
      </c>
      <c r="E2611" s="20"/>
    </row>
    <row r="2612" spans="1:5">
      <c r="A2612" s="17">
        <v>30</v>
      </c>
      <c r="B2612" s="18" t="s">
        <v>1064</v>
      </c>
      <c r="C2612" s="19">
        <v>3006201410029</v>
      </c>
      <c r="D2612" s="20">
        <f>595409.5/1000</f>
        <v>595.40949999999998</v>
      </c>
      <c r="E2612" s="20"/>
    </row>
    <row r="2613" spans="1:5">
      <c r="A2613" s="17">
        <v>31</v>
      </c>
      <c r="B2613" s="18" t="s">
        <v>1049</v>
      </c>
      <c r="C2613" s="19">
        <v>11311195610022</v>
      </c>
      <c r="D2613" s="20">
        <f>592359.5/1000</f>
        <v>592.35950000000003</v>
      </c>
      <c r="E2613" s="20"/>
    </row>
    <row r="2614" spans="1:5">
      <c r="A2614" s="17">
        <v>32</v>
      </c>
      <c r="B2614" s="18" t="s">
        <v>1047</v>
      </c>
      <c r="C2614" s="19">
        <v>2009202110051</v>
      </c>
      <c r="D2614" s="20">
        <f>530236.55/1000</f>
        <v>530.23655000000008</v>
      </c>
      <c r="E2614" s="20"/>
    </row>
    <row r="2615" spans="1:5">
      <c r="A2615" s="17">
        <v>33</v>
      </c>
      <c r="B2615" s="18" t="s">
        <v>1829</v>
      </c>
      <c r="C2615" s="19">
        <v>21701198201123</v>
      </c>
      <c r="D2615" s="20">
        <f>520692/1000</f>
        <v>520.69200000000001</v>
      </c>
      <c r="E2615" s="20"/>
    </row>
    <row r="2616" spans="1:5">
      <c r="A2616" s="17">
        <v>34</v>
      </c>
      <c r="B2616" s="18" t="s">
        <v>1568</v>
      </c>
      <c r="C2616" s="19">
        <v>1503202110043</v>
      </c>
      <c r="D2616" s="20">
        <f>518762.29/1000</f>
        <v>518.76229000000001</v>
      </c>
      <c r="E2616" s="20"/>
    </row>
    <row r="2617" spans="1:5">
      <c r="A2617" s="17">
        <v>35</v>
      </c>
      <c r="B2617" s="18" t="s">
        <v>1567</v>
      </c>
      <c r="C2617" s="19">
        <v>11110199001284</v>
      </c>
      <c r="D2617" s="20">
        <f>516433.45/1000</f>
        <v>516.43344999999999</v>
      </c>
      <c r="E2617" s="20"/>
    </row>
    <row r="2618" spans="1:5">
      <c r="A2618" s="17">
        <v>36</v>
      </c>
      <c r="B2618" s="18" t="s">
        <v>3163</v>
      </c>
      <c r="C2618" s="19">
        <v>501202110068</v>
      </c>
      <c r="D2618" s="20">
        <f>507340.72/1000</f>
        <v>507.34071999999998</v>
      </c>
      <c r="E2618" s="20"/>
    </row>
    <row r="2619" spans="1:5">
      <c r="A2619" s="17"/>
      <c r="B2619" s="25" t="s">
        <v>2</v>
      </c>
      <c r="C2619" s="27"/>
      <c r="D2619" s="35">
        <f>SUM(D2583:D2618)</f>
        <v>89289.017589999974</v>
      </c>
      <c r="E2619" s="35">
        <f>SUM(E2583:E2618)</f>
        <v>2803.7</v>
      </c>
    </row>
    <row r="2620" spans="1:5">
      <c r="A2620" s="5" t="s">
        <v>1667</v>
      </c>
      <c r="B2620" s="6"/>
      <c r="C2620" s="6"/>
      <c r="D2620" s="6"/>
      <c r="E2620" s="7"/>
    </row>
    <row r="2621" spans="1:5">
      <c r="A2621" s="17">
        <v>1</v>
      </c>
      <c r="B2621" s="18" t="s">
        <v>1092</v>
      </c>
      <c r="C2621" s="19">
        <v>22504196500434</v>
      </c>
      <c r="D2621" s="20">
        <f>608632.36/1000</f>
        <v>608.63235999999995</v>
      </c>
      <c r="E2621" s="20"/>
    </row>
    <row r="2622" spans="1:5">
      <c r="A2622" s="17"/>
      <c r="B2622" s="25" t="s">
        <v>2</v>
      </c>
      <c r="C2622" s="27"/>
      <c r="D2622" s="35">
        <f>SUM(D2621:D2621)</f>
        <v>608.63235999999995</v>
      </c>
      <c r="E2622" s="35">
        <f>SUM(E2621:E2621)</f>
        <v>0</v>
      </c>
    </row>
    <row r="2623" spans="1:5">
      <c r="A2623" s="5" t="s">
        <v>636</v>
      </c>
      <c r="B2623" s="6"/>
      <c r="C2623" s="6"/>
      <c r="D2623" s="6"/>
      <c r="E2623" s="7"/>
    </row>
    <row r="2624" spans="1:5">
      <c r="A2624" s="17">
        <v>1</v>
      </c>
      <c r="B2624" s="18" t="s">
        <v>637</v>
      </c>
      <c r="C2624" s="19">
        <v>312201410220</v>
      </c>
      <c r="D2624" s="20">
        <f>50549700.91/1000</f>
        <v>50549.70091</v>
      </c>
      <c r="E2624" s="20"/>
    </row>
    <row r="2625" spans="1:5">
      <c r="A2625" s="17">
        <v>2</v>
      </c>
      <c r="B2625" s="18" t="s">
        <v>639</v>
      </c>
      <c r="C2625" s="19">
        <v>1910201810098</v>
      </c>
      <c r="D2625" s="20">
        <f>5550118.1/1000</f>
        <v>5550.1180999999997</v>
      </c>
      <c r="E2625" s="20"/>
    </row>
    <row r="2626" spans="1:5">
      <c r="A2626" s="17">
        <v>3</v>
      </c>
      <c r="B2626" s="18" t="s">
        <v>640</v>
      </c>
      <c r="C2626" s="19">
        <v>21611198400900</v>
      </c>
      <c r="D2626" s="20">
        <f>4107957.1/1000</f>
        <v>4107.9571000000005</v>
      </c>
      <c r="E2626" s="20"/>
    </row>
    <row r="2627" spans="1:5">
      <c r="A2627" s="17">
        <v>4</v>
      </c>
      <c r="B2627" s="18" t="s">
        <v>3159</v>
      </c>
      <c r="C2627" s="19">
        <v>3001200910188</v>
      </c>
      <c r="D2627" s="20">
        <f>1962767.45/1000</f>
        <v>1962.7674500000001</v>
      </c>
      <c r="E2627" s="20"/>
    </row>
    <row r="2628" spans="1:5">
      <c r="A2628" s="17">
        <v>5</v>
      </c>
      <c r="B2628" s="18" t="s">
        <v>1671</v>
      </c>
      <c r="C2628" s="19">
        <v>22604199601300</v>
      </c>
      <c r="D2628" s="20">
        <f>1627272.56/1000</f>
        <v>1627.2725600000001</v>
      </c>
      <c r="E2628" s="20"/>
    </row>
    <row r="2629" spans="1:5">
      <c r="A2629" s="17">
        <v>6</v>
      </c>
      <c r="B2629" s="18" t="s">
        <v>1830</v>
      </c>
      <c r="C2629" s="19">
        <v>22105198301412</v>
      </c>
      <c r="D2629" s="20">
        <f>1458465.25/1000</f>
        <v>1458.46525</v>
      </c>
      <c r="E2629" s="20"/>
    </row>
    <row r="2630" spans="1:5">
      <c r="A2630" s="17">
        <v>7</v>
      </c>
      <c r="B2630" s="18" t="s">
        <v>3158</v>
      </c>
      <c r="C2630" s="19">
        <v>11004196500604</v>
      </c>
      <c r="D2630" s="20">
        <f>1187194.7/1000</f>
        <v>1187.1947</v>
      </c>
      <c r="E2630" s="20"/>
    </row>
    <row r="2631" spans="1:5">
      <c r="A2631" s="17">
        <v>8</v>
      </c>
      <c r="B2631" s="18" t="s">
        <v>638</v>
      </c>
      <c r="C2631" s="19">
        <v>21410198000706</v>
      </c>
      <c r="D2631" s="20">
        <f>898225.82/1000</f>
        <v>898.22582</v>
      </c>
      <c r="E2631" s="20"/>
    </row>
    <row r="2632" spans="1:5">
      <c r="A2632" s="17">
        <v>9</v>
      </c>
      <c r="B2632" s="18" t="s">
        <v>1909</v>
      </c>
      <c r="C2632" s="19">
        <v>2607200610068</v>
      </c>
      <c r="D2632" s="20">
        <f>526908/1000</f>
        <v>526.90800000000002</v>
      </c>
      <c r="E2632" s="20"/>
    </row>
    <row r="2633" spans="1:5">
      <c r="A2633" s="17">
        <v>10</v>
      </c>
      <c r="B2633" s="18" t="s">
        <v>3156</v>
      </c>
      <c r="C2633" s="19" t="s">
        <v>1600</v>
      </c>
      <c r="D2633" s="20"/>
      <c r="E2633" s="20">
        <v>1307.6164699999999</v>
      </c>
    </row>
    <row r="2634" spans="1:5">
      <c r="A2634" s="17">
        <v>11</v>
      </c>
      <c r="B2634" s="18" t="s">
        <v>1849</v>
      </c>
      <c r="C2634" s="19" t="s">
        <v>1981</v>
      </c>
      <c r="D2634" s="20"/>
      <c r="E2634" s="20">
        <v>724.54946999999993</v>
      </c>
    </row>
    <row r="2635" spans="1:5">
      <c r="A2635" s="17">
        <v>12</v>
      </c>
      <c r="B2635" s="18" t="s">
        <v>1608</v>
      </c>
      <c r="C2635" s="19" t="s">
        <v>1607</v>
      </c>
      <c r="D2635" s="20"/>
      <c r="E2635" s="20">
        <v>542.95267999999999</v>
      </c>
    </row>
    <row r="2636" spans="1:5" s="16" customFormat="1">
      <c r="A2636" s="40"/>
      <c r="B2636" s="25" t="s">
        <v>2</v>
      </c>
      <c r="C2636" s="27"/>
      <c r="D2636" s="35">
        <f>SUM(D2624:D2635)</f>
        <v>67868.609890000007</v>
      </c>
      <c r="E2636" s="35">
        <f>SUM(E2624:E2635)</f>
        <v>2575.1186199999997</v>
      </c>
    </row>
    <row r="2637" spans="1:5">
      <c r="A2637" s="4" t="s">
        <v>37</v>
      </c>
      <c r="B2637" s="4"/>
      <c r="C2637" s="4"/>
      <c r="D2637" s="4"/>
      <c r="E2637" s="4"/>
    </row>
    <row r="2638" spans="1:5">
      <c r="A2638" s="17">
        <v>1</v>
      </c>
      <c r="B2638" s="18" t="s">
        <v>1534</v>
      </c>
      <c r="C2638" s="19">
        <v>1308202110081</v>
      </c>
      <c r="D2638" s="44">
        <f>109740924.7/1000</f>
        <v>109740.9247</v>
      </c>
      <c r="E2638" s="20"/>
    </row>
    <row r="2639" spans="1:5">
      <c r="A2639" s="17">
        <v>2</v>
      </c>
      <c r="B2639" s="18" t="s">
        <v>1535</v>
      </c>
      <c r="C2639" s="19">
        <v>1911202010142</v>
      </c>
      <c r="D2639" s="44">
        <f>80318762.38/1000</f>
        <v>80318.76238</v>
      </c>
      <c r="E2639" s="20"/>
    </row>
    <row r="2640" spans="1:5">
      <c r="A2640" s="17">
        <v>3</v>
      </c>
      <c r="B2640" s="18" t="s">
        <v>51</v>
      </c>
      <c r="C2640" s="19">
        <v>1912201710058</v>
      </c>
      <c r="D2640" s="44">
        <f>70042897.83/1000</f>
        <v>70042.897830000002</v>
      </c>
      <c r="E2640" s="20"/>
    </row>
    <row r="2641" spans="1:5">
      <c r="A2641" s="17">
        <v>4</v>
      </c>
      <c r="B2641" s="18" t="s">
        <v>632</v>
      </c>
      <c r="C2641" s="19">
        <v>2906201810065</v>
      </c>
      <c r="D2641" s="44">
        <f>53818124.47/1000</f>
        <v>53818.124469999995</v>
      </c>
      <c r="E2641" s="20"/>
    </row>
    <row r="2642" spans="1:5">
      <c r="A2642" s="17">
        <v>5</v>
      </c>
      <c r="B2642" s="18" t="s">
        <v>52</v>
      </c>
      <c r="C2642" s="19">
        <v>2011201710165</v>
      </c>
      <c r="D2642" s="44">
        <f>45436037.54/1000</f>
        <v>45436.037539999998</v>
      </c>
      <c r="E2642" s="20"/>
    </row>
    <row r="2643" spans="1:5">
      <c r="A2643" s="17">
        <v>6</v>
      </c>
      <c r="B2643" s="18" t="s">
        <v>1026</v>
      </c>
      <c r="C2643" s="19">
        <v>2912201710019</v>
      </c>
      <c r="D2643" s="44">
        <f>41699606.18/1000</f>
        <v>41699.606180000002</v>
      </c>
      <c r="E2643" s="20"/>
    </row>
    <row r="2644" spans="1:5">
      <c r="A2644" s="17">
        <v>7</v>
      </c>
      <c r="B2644" s="18" t="s">
        <v>1536</v>
      </c>
      <c r="C2644" s="19">
        <v>20912198001202</v>
      </c>
      <c r="D2644" s="44">
        <f>30423477.14/1000</f>
        <v>30423.477139999999</v>
      </c>
      <c r="E2644" s="20"/>
    </row>
    <row r="2645" spans="1:5">
      <c r="A2645" s="17">
        <v>8</v>
      </c>
      <c r="B2645" s="18" t="s">
        <v>1831</v>
      </c>
      <c r="C2645" s="19">
        <v>108202210039</v>
      </c>
      <c r="D2645" s="44">
        <f>26087564.48/1000</f>
        <v>26087.564480000001</v>
      </c>
      <c r="E2645" s="20"/>
    </row>
    <row r="2646" spans="1:5">
      <c r="A2646" s="17">
        <v>9</v>
      </c>
      <c r="B2646" s="18" t="s">
        <v>55</v>
      </c>
      <c r="C2646" s="19">
        <v>2506201810077</v>
      </c>
      <c r="D2646" s="44">
        <f>24129203.66/1000</f>
        <v>24129.203659999999</v>
      </c>
      <c r="E2646" s="20"/>
    </row>
    <row r="2647" spans="1:5">
      <c r="A2647" s="17">
        <v>10</v>
      </c>
      <c r="B2647" s="18" t="s">
        <v>1672</v>
      </c>
      <c r="C2647" s="19">
        <v>1103201910285</v>
      </c>
      <c r="D2647" s="44">
        <f>23456140.35/1000</f>
        <v>23456.140350000001</v>
      </c>
      <c r="E2647" s="20"/>
    </row>
    <row r="2648" spans="1:5">
      <c r="A2648" s="17">
        <v>11</v>
      </c>
      <c r="B2648" s="18" t="s">
        <v>53</v>
      </c>
      <c r="C2648" s="19">
        <v>2904201310093</v>
      </c>
      <c r="D2648" s="44">
        <f>19933362.96/1000</f>
        <v>19933.362960000002</v>
      </c>
      <c r="E2648" s="20"/>
    </row>
    <row r="2649" spans="1:5">
      <c r="A2649" s="17">
        <v>12</v>
      </c>
      <c r="B2649" s="18" t="s">
        <v>56</v>
      </c>
      <c r="C2649" s="19">
        <v>601201610049</v>
      </c>
      <c r="D2649" s="44">
        <f>18850713/1000</f>
        <v>18850.713</v>
      </c>
      <c r="E2649" s="20"/>
    </row>
    <row r="2650" spans="1:5">
      <c r="A2650" s="17">
        <v>13</v>
      </c>
      <c r="B2650" s="18" t="s">
        <v>3148</v>
      </c>
      <c r="C2650" s="19">
        <v>101199910052</v>
      </c>
      <c r="D2650" s="44">
        <f>18608623.56/1000</f>
        <v>18608.62356</v>
      </c>
      <c r="E2650" s="20"/>
    </row>
    <row r="2651" spans="1:5">
      <c r="A2651" s="17">
        <v>14</v>
      </c>
      <c r="B2651" s="18" t="s">
        <v>788</v>
      </c>
      <c r="C2651" s="19">
        <v>2808201810046</v>
      </c>
      <c r="D2651" s="44">
        <f>16342522/1000</f>
        <v>16342.522000000001</v>
      </c>
      <c r="E2651" s="20"/>
    </row>
    <row r="2652" spans="1:5">
      <c r="A2652" s="17">
        <v>15</v>
      </c>
      <c r="B2652" s="18" t="s">
        <v>1832</v>
      </c>
      <c r="C2652" s="19">
        <v>2501202110107</v>
      </c>
      <c r="D2652" s="44">
        <f>13556015.45/1000</f>
        <v>13556.015449999999</v>
      </c>
      <c r="E2652" s="20"/>
    </row>
    <row r="2653" spans="1:5">
      <c r="A2653" s="17">
        <v>16</v>
      </c>
      <c r="B2653" s="18" t="s">
        <v>906</v>
      </c>
      <c r="C2653" s="19">
        <v>2305202210177</v>
      </c>
      <c r="D2653" s="44">
        <f>10174924.29/1000</f>
        <v>10174.924289999999</v>
      </c>
      <c r="E2653" s="20"/>
    </row>
    <row r="2654" spans="1:5">
      <c r="A2654" s="17">
        <v>17</v>
      </c>
      <c r="B2654" s="18" t="s">
        <v>3146</v>
      </c>
      <c r="C2654" s="19">
        <v>1911199710038</v>
      </c>
      <c r="D2654" s="44">
        <f>10104515.71/1000</f>
        <v>10104.515710000001</v>
      </c>
      <c r="E2654" s="20"/>
    </row>
    <row r="2655" spans="1:5">
      <c r="A2655" s="17">
        <v>18</v>
      </c>
      <c r="B2655" s="18" t="s">
        <v>1537</v>
      </c>
      <c r="C2655" s="19">
        <v>1301201610233</v>
      </c>
      <c r="D2655" s="44">
        <f>9708799.09/1000</f>
        <v>9708.7990900000004</v>
      </c>
      <c r="E2655" s="20"/>
    </row>
    <row r="2656" spans="1:5">
      <c r="A2656" s="17">
        <v>19</v>
      </c>
      <c r="B2656" s="18" t="s">
        <v>1538</v>
      </c>
      <c r="C2656" s="19">
        <v>2804201710065</v>
      </c>
      <c r="D2656" s="44">
        <f>6468794.24/1000</f>
        <v>6468.7942400000002</v>
      </c>
      <c r="E2656" s="20"/>
    </row>
    <row r="2657" spans="1:5">
      <c r="A2657" s="17">
        <v>20</v>
      </c>
      <c r="B2657" s="18" t="s">
        <v>1539</v>
      </c>
      <c r="C2657" s="19">
        <v>1308202110079</v>
      </c>
      <c r="D2657" s="44">
        <f>4699907.71/1000</f>
        <v>4699.9077100000004</v>
      </c>
      <c r="E2657" s="20"/>
    </row>
    <row r="2658" spans="1:5">
      <c r="A2658" s="17">
        <v>21</v>
      </c>
      <c r="B2658" s="18" t="s">
        <v>633</v>
      </c>
      <c r="C2658" s="19">
        <v>21711198700440</v>
      </c>
      <c r="D2658" s="44">
        <f>4616597.43/1000</f>
        <v>4616.5974299999998</v>
      </c>
      <c r="E2658" s="20"/>
    </row>
    <row r="2659" spans="1:5">
      <c r="A2659" s="17">
        <v>22</v>
      </c>
      <c r="B2659" s="18" t="s">
        <v>634</v>
      </c>
      <c r="C2659" s="19">
        <v>2007201110055</v>
      </c>
      <c r="D2659" s="44">
        <f>4424932/1000</f>
        <v>4424.9319999999998</v>
      </c>
      <c r="E2659" s="20"/>
    </row>
    <row r="2660" spans="1:5">
      <c r="A2660" s="17">
        <v>23</v>
      </c>
      <c r="B2660" s="18" t="s">
        <v>2307</v>
      </c>
      <c r="C2660" s="19">
        <v>22008197400705</v>
      </c>
      <c r="D2660" s="44">
        <f>4391444.11/1000</f>
        <v>4391.4441100000004</v>
      </c>
      <c r="E2660" s="20"/>
    </row>
    <row r="2661" spans="1:5">
      <c r="A2661" s="17">
        <v>24</v>
      </c>
      <c r="B2661" s="18" t="s">
        <v>983</v>
      </c>
      <c r="C2661" s="19">
        <v>22708198501419</v>
      </c>
      <c r="D2661" s="44">
        <f>3811771.6/1000</f>
        <v>3811.7716</v>
      </c>
      <c r="E2661" s="20"/>
    </row>
    <row r="2662" spans="1:5">
      <c r="A2662" s="17">
        <v>25</v>
      </c>
      <c r="B2662" s="18" t="s">
        <v>1027</v>
      </c>
      <c r="C2662" s="19">
        <v>812200910167</v>
      </c>
      <c r="D2662" s="44">
        <f>3244130.61/1000</f>
        <v>3244.1306099999997</v>
      </c>
      <c r="E2662" s="20"/>
    </row>
    <row r="2663" spans="1:5">
      <c r="A2663" s="17">
        <v>26</v>
      </c>
      <c r="B2663" s="18" t="s">
        <v>57</v>
      </c>
      <c r="C2663" s="19">
        <v>1708202110156</v>
      </c>
      <c r="D2663" s="44">
        <f>3123718.77/1000</f>
        <v>3123.7187699999999</v>
      </c>
      <c r="E2663" s="20"/>
    </row>
    <row r="2664" spans="1:5">
      <c r="A2664" s="17">
        <v>27</v>
      </c>
      <c r="B2664" s="18" t="s">
        <v>54</v>
      </c>
      <c r="C2664" s="19">
        <v>702201310102</v>
      </c>
      <c r="D2664" s="44">
        <f>1960911.36/1000</f>
        <v>1960.9113600000001</v>
      </c>
      <c r="E2664" s="20"/>
    </row>
    <row r="2665" spans="1:5">
      <c r="A2665" s="17">
        <v>28</v>
      </c>
      <c r="B2665" s="18" t="s">
        <v>1674</v>
      </c>
      <c r="C2665" s="19">
        <v>903201610313</v>
      </c>
      <c r="D2665" s="44">
        <f>1467734.8/1000</f>
        <v>1467.7348</v>
      </c>
      <c r="E2665" s="20"/>
    </row>
    <row r="2666" spans="1:5">
      <c r="A2666" s="17">
        <v>29</v>
      </c>
      <c r="B2666" s="18" t="s">
        <v>1983</v>
      </c>
      <c r="C2666" s="19">
        <v>2901202010103</v>
      </c>
      <c r="D2666" s="44">
        <f>1539409.79/1000</f>
        <v>1539.4097899999999</v>
      </c>
      <c r="E2666" s="20"/>
    </row>
    <row r="2667" spans="1:5">
      <c r="A2667" s="17">
        <v>30</v>
      </c>
      <c r="B2667" s="18" t="s">
        <v>1984</v>
      </c>
      <c r="C2667" s="19">
        <v>22804198700712</v>
      </c>
      <c r="D2667" s="44">
        <f>1308989.12/1000</f>
        <v>1308.9891200000002</v>
      </c>
      <c r="E2667" s="20"/>
    </row>
    <row r="2668" spans="1:5">
      <c r="A2668" s="17">
        <v>31</v>
      </c>
      <c r="B2668" s="18" t="s">
        <v>1673</v>
      </c>
      <c r="C2668" s="19">
        <v>1309202110353</v>
      </c>
      <c r="D2668" s="44">
        <f>1302530.04/1000</f>
        <v>1302.5300400000001</v>
      </c>
      <c r="E2668" s="20"/>
    </row>
    <row r="2669" spans="1:5">
      <c r="A2669" s="17">
        <v>32</v>
      </c>
      <c r="B2669" s="45" t="s">
        <v>2312</v>
      </c>
      <c r="C2669" s="19">
        <v>111202110017</v>
      </c>
      <c r="D2669" s="44">
        <f>1291879.74/1000</f>
        <v>1291.8797400000001</v>
      </c>
      <c r="E2669" s="20"/>
    </row>
    <row r="2670" spans="1:5">
      <c r="A2670" s="17">
        <v>33</v>
      </c>
      <c r="B2670" s="45" t="s">
        <v>1028</v>
      </c>
      <c r="C2670" s="19">
        <v>1701201910063</v>
      </c>
      <c r="D2670" s="44">
        <f>1285131.22/1000</f>
        <v>1285.13122</v>
      </c>
      <c r="E2670" s="20"/>
    </row>
    <row r="2671" spans="1:5">
      <c r="A2671" s="17">
        <v>34</v>
      </c>
      <c r="B2671" s="45" t="s">
        <v>1540</v>
      </c>
      <c r="C2671" s="19">
        <v>22402198400415</v>
      </c>
      <c r="D2671" s="44">
        <f>1256290/1000</f>
        <v>1256.29</v>
      </c>
      <c r="E2671" s="20"/>
    </row>
    <row r="2672" spans="1:5">
      <c r="A2672" s="17">
        <v>35</v>
      </c>
      <c r="B2672" s="28" t="s">
        <v>1982</v>
      </c>
      <c r="C2672" s="19">
        <v>2511201610071</v>
      </c>
      <c r="D2672" s="44">
        <f>1207997.45/1000</f>
        <v>1207.9974499999998</v>
      </c>
      <c r="E2672" s="22"/>
    </row>
    <row r="2673" spans="1:5">
      <c r="A2673" s="17">
        <v>36</v>
      </c>
      <c r="B2673" s="28" t="s">
        <v>1100</v>
      </c>
      <c r="C2673" s="19">
        <v>2604201810042</v>
      </c>
      <c r="D2673" s="44">
        <f>1167665.98/1000</f>
        <v>1167.66598</v>
      </c>
      <c r="E2673" s="22"/>
    </row>
    <row r="2674" spans="1:5">
      <c r="A2674" s="17">
        <v>37</v>
      </c>
      <c r="B2674" s="28" t="s">
        <v>2308</v>
      </c>
      <c r="C2674" s="19">
        <v>2301201910051</v>
      </c>
      <c r="D2674" s="44">
        <f>1128572.71/1000</f>
        <v>1128.5727099999999</v>
      </c>
      <c r="E2674" s="22"/>
    </row>
    <row r="2675" spans="1:5">
      <c r="A2675" s="17">
        <v>38</v>
      </c>
      <c r="B2675" s="28" t="s">
        <v>3147</v>
      </c>
      <c r="C2675" s="19">
        <v>2303201510134</v>
      </c>
      <c r="D2675" s="44">
        <f>1024833.19/1000</f>
        <v>1024.8331899999998</v>
      </c>
      <c r="E2675" s="22">
        <v>14985</v>
      </c>
    </row>
    <row r="2676" spans="1:5">
      <c r="A2676" s="17">
        <v>39</v>
      </c>
      <c r="B2676" s="28" t="s">
        <v>1101</v>
      </c>
      <c r="C2676" s="19">
        <v>706201810268</v>
      </c>
      <c r="D2676" s="44">
        <f>1010083.38/1000</f>
        <v>1010.08338</v>
      </c>
      <c r="E2676" s="22"/>
    </row>
    <row r="2677" spans="1:5">
      <c r="A2677" s="17">
        <v>40</v>
      </c>
      <c r="B2677" s="28" t="s">
        <v>2313</v>
      </c>
      <c r="C2677" s="19">
        <v>2303200110086</v>
      </c>
      <c r="D2677" s="44">
        <f>987483.39/1000</f>
        <v>987.48338999999999</v>
      </c>
      <c r="E2677" s="22"/>
    </row>
    <row r="2678" spans="1:5">
      <c r="A2678" s="17">
        <v>41</v>
      </c>
      <c r="B2678" s="28" t="s">
        <v>1833</v>
      </c>
      <c r="C2678" s="19">
        <v>22211196500347</v>
      </c>
      <c r="D2678" s="44">
        <f>981851.64/1000</f>
        <v>981.85163999999997</v>
      </c>
      <c r="E2678" s="22"/>
    </row>
    <row r="2679" spans="1:5">
      <c r="A2679" s="17">
        <v>42</v>
      </c>
      <c r="B2679" s="28" t="s">
        <v>1675</v>
      </c>
      <c r="C2679" s="19">
        <v>203201810262</v>
      </c>
      <c r="D2679" s="44">
        <f>992450.25/1000</f>
        <v>992.45024999999998</v>
      </c>
      <c r="E2679" s="22"/>
    </row>
    <row r="2680" spans="1:5">
      <c r="A2680" s="17">
        <v>43</v>
      </c>
      <c r="B2680" s="28" t="s">
        <v>3145</v>
      </c>
      <c r="C2680" s="19">
        <v>2712202110182</v>
      </c>
      <c r="D2680" s="44">
        <f>916796.03/1000</f>
        <v>916.79602999999997</v>
      </c>
      <c r="E2680" s="22"/>
    </row>
    <row r="2681" spans="1:5" ht="31.5">
      <c r="A2681" s="17">
        <v>44</v>
      </c>
      <c r="B2681" s="28" t="s">
        <v>2314</v>
      </c>
      <c r="C2681" s="19">
        <v>2905201310016</v>
      </c>
      <c r="D2681" s="44">
        <f>883829.28/1000</f>
        <v>883.82928000000004</v>
      </c>
      <c r="E2681" s="22"/>
    </row>
    <row r="2682" spans="1:5">
      <c r="A2682" s="17">
        <v>45</v>
      </c>
      <c r="B2682" s="28" t="s">
        <v>1834</v>
      </c>
      <c r="C2682" s="19">
        <v>208199910031</v>
      </c>
      <c r="D2682" s="44">
        <f>882176.92/1000</f>
        <v>882.17692</v>
      </c>
      <c r="E2682" s="22"/>
    </row>
    <row r="2683" spans="1:5">
      <c r="A2683" s="17">
        <v>46</v>
      </c>
      <c r="B2683" s="28" t="s">
        <v>1541</v>
      </c>
      <c r="C2683" s="19">
        <v>20803198200624</v>
      </c>
      <c r="D2683" s="44">
        <f>784691.14/1000</f>
        <v>784.69114000000002</v>
      </c>
      <c r="E2683" s="22"/>
    </row>
    <row r="2684" spans="1:5">
      <c r="A2684" s="17">
        <v>47</v>
      </c>
      <c r="B2684" s="28" t="s">
        <v>2309</v>
      </c>
      <c r="C2684" s="19">
        <v>3107200910119</v>
      </c>
      <c r="D2684" s="44">
        <f>777872.56/1000</f>
        <v>777.87256000000002</v>
      </c>
      <c r="E2684" s="22"/>
    </row>
    <row r="2685" spans="1:5">
      <c r="A2685" s="17">
        <v>48</v>
      </c>
      <c r="B2685" s="28" t="s">
        <v>1029</v>
      </c>
      <c r="C2685" s="19">
        <v>410201910021</v>
      </c>
      <c r="D2685" s="44">
        <f>761363.92/1000</f>
        <v>761.36392000000001</v>
      </c>
      <c r="E2685" s="22"/>
    </row>
    <row r="2686" spans="1:5">
      <c r="A2686" s="17">
        <v>49</v>
      </c>
      <c r="B2686" s="28" t="s">
        <v>2310</v>
      </c>
      <c r="C2686" s="19">
        <v>2001202010120</v>
      </c>
      <c r="D2686" s="44">
        <f>750678.94/1000</f>
        <v>750.6789399999999</v>
      </c>
      <c r="E2686" s="22"/>
    </row>
    <row r="2687" spans="1:5">
      <c r="A2687" s="17">
        <v>50</v>
      </c>
      <c r="B2687" s="28" t="s">
        <v>2315</v>
      </c>
      <c r="C2687" s="19">
        <v>1908199410057</v>
      </c>
      <c r="D2687" s="44">
        <f>799824.76/1000</f>
        <v>799.82475999999997</v>
      </c>
      <c r="E2687" s="22"/>
    </row>
    <row r="2688" spans="1:5">
      <c r="A2688" s="17">
        <v>51</v>
      </c>
      <c r="B2688" s="28" t="s">
        <v>2316</v>
      </c>
      <c r="C2688" s="19">
        <v>2010200610109</v>
      </c>
      <c r="D2688" s="44">
        <f>708482.96/1000</f>
        <v>708.48295999999993</v>
      </c>
      <c r="E2688" s="22"/>
    </row>
    <row r="2689" spans="1:5">
      <c r="A2689" s="17">
        <v>52</v>
      </c>
      <c r="B2689" s="28" t="s">
        <v>1907</v>
      </c>
      <c r="C2689" s="19">
        <v>10208198800452</v>
      </c>
      <c r="D2689" s="44">
        <f>613044.6/1000</f>
        <v>613.04459999999995</v>
      </c>
      <c r="E2689" s="22"/>
    </row>
    <row r="2690" spans="1:5">
      <c r="A2690" s="17">
        <v>53</v>
      </c>
      <c r="B2690" s="28" t="s">
        <v>2311</v>
      </c>
      <c r="C2690" s="19">
        <v>1912201610123</v>
      </c>
      <c r="D2690" s="44">
        <f>891462.63/1000</f>
        <v>891.46262999999999</v>
      </c>
      <c r="E2690" s="22"/>
    </row>
    <row r="2691" spans="1:5">
      <c r="A2691" s="17">
        <v>54</v>
      </c>
      <c r="B2691" s="28" t="s">
        <v>587</v>
      </c>
      <c r="C2691" s="19">
        <v>21706198600542</v>
      </c>
      <c r="D2691" s="44">
        <f>600000/1000</f>
        <v>600</v>
      </c>
      <c r="E2691" s="22"/>
    </row>
    <row r="2692" spans="1:5">
      <c r="A2692" s="17">
        <v>55</v>
      </c>
      <c r="B2692" s="28" t="s">
        <v>635</v>
      </c>
      <c r="C2692" s="19">
        <v>1008201510137</v>
      </c>
      <c r="D2692" s="44">
        <f>588815.99/1000</f>
        <v>588.81598999999994</v>
      </c>
      <c r="E2692" s="22"/>
    </row>
    <row r="2693" spans="1:5">
      <c r="A2693" s="17">
        <v>56</v>
      </c>
      <c r="B2693" s="28" t="s">
        <v>1908</v>
      </c>
      <c r="C2693" s="19">
        <v>21508197800456</v>
      </c>
      <c r="D2693" s="44">
        <f>566587.77/1000</f>
        <v>566.58776999999998</v>
      </c>
      <c r="E2693" s="22"/>
    </row>
    <row r="2694" spans="1:5">
      <c r="A2694" s="17">
        <v>57</v>
      </c>
      <c r="B2694" s="28" t="s">
        <v>1542</v>
      </c>
      <c r="C2694" s="19">
        <v>1705201710113</v>
      </c>
      <c r="D2694" s="44">
        <f>516743.74/1000</f>
        <v>516.74374</v>
      </c>
      <c r="E2694" s="22"/>
    </row>
    <row r="2695" spans="1:5">
      <c r="A2695" s="17">
        <v>58</v>
      </c>
      <c r="B2695" s="28" t="s">
        <v>2317</v>
      </c>
      <c r="C2695" s="19">
        <v>910200810060</v>
      </c>
      <c r="D2695" s="44">
        <f>506452.19/1000</f>
        <v>506.45219000000003</v>
      </c>
      <c r="E2695" s="22"/>
    </row>
    <row r="2696" spans="1:5">
      <c r="A2696" s="17">
        <v>59</v>
      </c>
      <c r="B2696" s="28" t="s">
        <v>1676</v>
      </c>
      <c r="C2696" s="19" t="s">
        <v>1600</v>
      </c>
      <c r="D2696" s="44"/>
      <c r="E2696" s="22">
        <v>32304.001510000002</v>
      </c>
    </row>
    <row r="2697" spans="1:5">
      <c r="A2697" s="17">
        <v>60</v>
      </c>
      <c r="B2697" s="28" t="s">
        <v>3150</v>
      </c>
      <c r="C2697" s="19" t="s">
        <v>3149</v>
      </c>
      <c r="D2697" s="44"/>
      <c r="E2697" s="22">
        <v>3620.5993399999998</v>
      </c>
    </row>
    <row r="2698" spans="1:5">
      <c r="A2698" s="17">
        <v>61</v>
      </c>
      <c r="B2698" s="28" t="s">
        <v>2319</v>
      </c>
      <c r="C2698" s="19" t="s">
        <v>2318</v>
      </c>
      <c r="D2698" s="44"/>
      <c r="E2698" s="22">
        <v>1270.7717700000001</v>
      </c>
    </row>
    <row r="2699" spans="1:5">
      <c r="A2699" s="17"/>
      <c r="B2699" s="25" t="s">
        <v>2</v>
      </c>
      <c r="C2699" s="34" t="s">
        <v>4</v>
      </c>
      <c r="D2699" s="35">
        <f>SUM(D2638:D2698)</f>
        <v>688676.14874999993</v>
      </c>
      <c r="E2699" s="35">
        <f>SUM(E2638:E2698)</f>
        <v>52180.372620000002</v>
      </c>
    </row>
    <row r="2700" spans="1:5">
      <c r="A2700" s="5" t="s">
        <v>527</v>
      </c>
      <c r="B2700" s="6"/>
      <c r="C2700" s="6"/>
      <c r="D2700" s="6"/>
      <c r="E2700" s="7"/>
    </row>
    <row r="2701" spans="1:5">
      <c r="A2701" s="17">
        <v>1</v>
      </c>
      <c r="B2701" s="18" t="s">
        <v>1019</v>
      </c>
      <c r="C2701" s="19">
        <v>20712199200010</v>
      </c>
      <c r="D2701" s="20">
        <f>17841450.9/1000</f>
        <v>17841.4509</v>
      </c>
      <c r="E2701" s="20"/>
    </row>
    <row r="2702" spans="1:5">
      <c r="A2702" s="17">
        <v>2</v>
      </c>
      <c r="B2702" s="18" t="s">
        <v>984</v>
      </c>
      <c r="C2702" s="19">
        <v>22404199850004</v>
      </c>
      <c r="D2702" s="20">
        <f>2364642.23/1000</f>
        <v>2364.6422299999999</v>
      </c>
      <c r="E2702" s="20"/>
    </row>
    <row r="2703" spans="1:5">
      <c r="A2703" s="17">
        <v>3</v>
      </c>
      <c r="B2703" s="18" t="s">
        <v>1533</v>
      </c>
      <c r="C2703" s="19">
        <v>2708200810150</v>
      </c>
      <c r="D2703" s="20">
        <f>605882/1000</f>
        <v>605.88199999999995</v>
      </c>
      <c r="E2703" s="20"/>
    </row>
    <row r="2704" spans="1:5">
      <c r="A2704" s="17">
        <v>4</v>
      </c>
      <c r="B2704" s="18" t="s">
        <v>3156</v>
      </c>
      <c r="C2704" s="19" t="s">
        <v>1600</v>
      </c>
      <c r="D2704" s="20"/>
      <c r="E2704" s="20">
        <v>711.7673400000001</v>
      </c>
    </row>
    <row r="2705" spans="1:5">
      <c r="A2705" s="17">
        <v>5</v>
      </c>
      <c r="B2705" s="18" t="s">
        <v>691</v>
      </c>
      <c r="C2705" s="19" t="s">
        <v>1606</v>
      </c>
      <c r="D2705" s="20"/>
      <c r="E2705" s="20">
        <v>544.91463999999996</v>
      </c>
    </row>
    <row r="2706" spans="1:5">
      <c r="A2706" s="17"/>
      <c r="B2706" s="25" t="s">
        <v>2</v>
      </c>
      <c r="C2706" s="34"/>
      <c r="D2706" s="35">
        <f>SUM(D2701:D2705)</f>
        <v>20811.975130000003</v>
      </c>
      <c r="E2706" s="35">
        <f>SUM(E2701:E2705)</f>
        <v>1256.6819800000001</v>
      </c>
    </row>
    <row r="2707" spans="1:5">
      <c r="A2707" s="5" t="s">
        <v>555</v>
      </c>
      <c r="B2707" s="6"/>
      <c r="C2707" s="6"/>
      <c r="D2707" s="6"/>
      <c r="E2707" s="7"/>
    </row>
    <row r="2708" spans="1:5">
      <c r="A2708" s="17">
        <v>1</v>
      </c>
      <c r="B2708" s="18" t="s">
        <v>1527</v>
      </c>
      <c r="C2708" s="19">
        <v>1712200710096</v>
      </c>
      <c r="D2708" s="20">
        <f>8096031.79/1000</f>
        <v>8096.03179</v>
      </c>
      <c r="E2708" s="20"/>
    </row>
    <row r="2709" spans="1:5">
      <c r="A2709" s="17">
        <v>2</v>
      </c>
      <c r="B2709" s="18" t="s">
        <v>582</v>
      </c>
      <c r="C2709" s="19">
        <v>2703201910372</v>
      </c>
      <c r="D2709" s="20">
        <f>2087735.87/1000</f>
        <v>2087.73587</v>
      </c>
      <c r="E2709" s="20"/>
    </row>
    <row r="2710" spans="1:5">
      <c r="A2710" s="17">
        <v>3</v>
      </c>
      <c r="B2710" s="18" t="s">
        <v>1786</v>
      </c>
      <c r="C2710" s="19" t="s">
        <v>1605</v>
      </c>
      <c r="D2710" s="20"/>
      <c r="E2710" s="20">
        <v>917.7</v>
      </c>
    </row>
    <row r="2711" spans="1:5" s="16" customFormat="1">
      <c r="A2711" s="40"/>
      <c r="B2711" s="25" t="s">
        <v>2</v>
      </c>
      <c r="C2711" s="27"/>
      <c r="D2711" s="35">
        <f>SUM(D2708:D2710)</f>
        <v>10183.76766</v>
      </c>
      <c r="E2711" s="35">
        <f>SUM(E2708:E2710)</f>
        <v>917.7</v>
      </c>
    </row>
    <row r="2712" spans="1:5" s="16" customFormat="1">
      <c r="A2712" s="5" t="s">
        <v>518</v>
      </c>
      <c r="B2712" s="6"/>
      <c r="C2712" s="6"/>
      <c r="D2712" s="6"/>
      <c r="E2712" s="7"/>
    </row>
    <row r="2713" spans="1:5" s="16" customFormat="1">
      <c r="A2713" s="17">
        <v>1</v>
      </c>
      <c r="B2713" s="18" t="s">
        <v>2305</v>
      </c>
      <c r="C2713" s="19">
        <v>704200810072</v>
      </c>
      <c r="D2713" s="20">
        <f>12518259.93/1000</f>
        <v>12518.25993</v>
      </c>
      <c r="E2713" s="20"/>
    </row>
    <row r="2714" spans="1:5" s="16" customFormat="1">
      <c r="A2714" s="17">
        <v>2</v>
      </c>
      <c r="B2714" s="18" t="s">
        <v>2306</v>
      </c>
      <c r="C2714" s="19">
        <v>706200710162</v>
      </c>
      <c r="D2714" s="20">
        <f>3871832.18/1000</f>
        <v>3871.8321800000003</v>
      </c>
      <c r="E2714" s="20"/>
    </row>
    <row r="2715" spans="1:5" s="16" customFormat="1">
      <c r="A2715" s="17">
        <v>3</v>
      </c>
      <c r="B2715" s="18" t="s">
        <v>438</v>
      </c>
      <c r="C2715" s="19">
        <v>1406200610101</v>
      </c>
      <c r="D2715" s="20">
        <f>1446042.95/1000</f>
        <v>1446.04295</v>
      </c>
      <c r="E2715" s="20"/>
    </row>
    <row r="2716" spans="1:5" s="16" customFormat="1">
      <c r="A2716" s="17">
        <v>4</v>
      </c>
      <c r="B2716" s="18" t="s">
        <v>3157</v>
      </c>
      <c r="C2716" s="19">
        <v>21808198000634</v>
      </c>
      <c r="D2716" s="20">
        <f>575269.25/1000</f>
        <v>575.26925000000006</v>
      </c>
      <c r="E2716" s="20"/>
    </row>
    <row r="2717" spans="1:5" s="16" customFormat="1">
      <c r="A2717" s="17">
        <v>5</v>
      </c>
      <c r="B2717" s="18" t="s">
        <v>2304</v>
      </c>
      <c r="C2717" s="19">
        <v>108199210016</v>
      </c>
      <c r="D2717" s="20">
        <f>508382.39/1000</f>
        <v>508.38238999999999</v>
      </c>
      <c r="E2717" s="20"/>
    </row>
    <row r="2718" spans="1:5" s="16" customFormat="1">
      <c r="A2718" s="17">
        <v>6</v>
      </c>
      <c r="B2718" s="18" t="s">
        <v>1676</v>
      </c>
      <c r="C2718" s="19" t="s">
        <v>1600</v>
      </c>
      <c r="D2718" s="20"/>
      <c r="E2718" s="20">
        <v>863.3</v>
      </c>
    </row>
    <row r="2719" spans="1:5" s="16" customFormat="1">
      <c r="A2719" s="40"/>
      <c r="B2719" s="25" t="s">
        <v>2</v>
      </c>
      <c r="C2719" s="27"/>
      <c r="D2719" s="35">
        <f>SUM(D2713:D2718)</f>
        <v>18919.786700000001</v>
      </c>
      <c r="E2719" s="35">
        <f>SUM(E2713:E2718)</f>
        <v>863.3</v>
      </c>
    </row>
    <row r="2720" spans="1:5">
      <c r="A2720" s="5" t="s">
        <v>17</v>
      </c>
      <c r="B2720" s="6"/>
      <c r="C2720" s="6"/>
      <c r="D2720" s="6"/>
      <c r="E2720" s="7"/>
    </row>
    <row r="2721" spans="1:5">
      <c r="A2721" s="17">
        <v>1</v>
      </c>
      <c r="B2721" s="18" t="s">
        <v>73</v>
      </c>
      <c r="C2721" s="19">
        <v>1309201710192</v>
      </c>
      <c r="D2721" s="20">
        <f>68536131.64/1000</f>
        <v>68536.131640000007</v>
      </c>
      <c r="E2721" s="20"/>
    </row>
    <row r="2722" spans="1:5">
      <c r="A2722" s="17">
        <v>2</v>
      </c>
      <c r="B2722" s="18" t="s">
        <v>1084</v>
      </c>
      <c r="C2722" s="19">
        <v>13009197800764</v>
      </c>
      <c r="D2722" s="20">
        <f>4444935.51/1000</f>
        <v>4444.9355099999993</v>
      </c>
      <c r="E2722" s="20"/>
    </row>
    <row r="2723" spans="1:5">
      <c r="A2723" s="17">
        <v>3</v>
      </c>
      <c r="B2723" s="18" t="s">
        <v>1846</v>
      </c>
      <c r="C2723" s="19">
        <v>2808201210151</v>
      </c>
      <c r="D2723" s="20">
        <f>3533258.16/1000</f>
        <v>3533.2581600000003</v>
      </c>
      <c r="E2723" s="20"/>
    </row>
    <row r="2724" spans="1:5">
      <c r="A2724" s="17">
        <v>4</v>
      </c>
      <c r="B2724" s="18" t="s">
        <v>3154</v>
      </c>
      <c r="C2724" s="19">
        <v>21305195500382</v>
      </c>
      <c r="D2724" s="20">
        <f>1475713.24/1000</f>
        <v>1475.71324</v>
      </c>
      <c r="E2724" s="20"/>
    </row>
    <row r="2725" spans="1:5">
      <c r="A2725" s="17">
        <v>5</v>
      </c>
      <c r="B2725" s="18" t="s">
        <v>1398</v>
      </c>
      <c r="C2725" s="19">
        <v>23107199800270</v>
      </c>
      <c r="D2725" s="20">
        <f>1099446.81/1000</f>
        <v>1099.4468100000001</v>
      </c>
      <c r="E2725" s="20"/>
    </row>
    <row r="2726" spans="1:5">
      <c r="A2726" s="17">
        <v>6</v>
      </c>
      <c r="B2726" s="18" t="s">
        <v>1399</v>
      </c>
      <c r="C2726" s="19">
        <v>20501197000206</v>
      </c>
      <c r="D2726" s="20">
        <f>784549.29/1000</f>
        <v>784.54929000000004</v>
      </c>
      <c r="E2726" s="20"/>
    </row>
    <row r="2727" spans="1:5">
      <c r="A2727" s="17">
        <v>7</v>
      </c>
      <c r="B2727" s="18" t="s">
        <v>1835</v>
      </c>
      <c r="C2727" s="19">
        <v>10101198503958</v>
      </c>
      <c r="D2727" s="20">
        <f>626253.4/1000</f>
        <v>626.25340000000006</v>
      </c>
      <c r="E2727" s="20"/>
    </row>
    <row r="2728" spans="1:5">
      <c r="A2728" s="17">
        <v>8</v>
      </c>
      <c r="B2728" s="18" t="s">
        <v>3155</v>
      </c>
      <c r="C2728" s="19">
        <v>1301199310016</v>
      </c>
      <c r="D2728" s="20">
        <f>611932.29/1000</f>
        <v>611.93229000000008</v>
      </c>
      <c r="E2728" s="20"/>
    </row>
    <row r="2729" spans="1:5">
      <c r="A2729" s="17">
        <v>9</v>
      </c>
      <c r="B2729" s="18" t="s">
        <v>1676</v>
      </c>
      <c r="C2729" s="19" t="s">
        <v>1600</v>
      </c>
      <c r="D2729" s="20"/>
      <c r="E2729" s="20">
        <v>1041.7</v>
      </c>
    </row>
    <row r="2730" spans="1:5">
      <c r="A2730" s="17"/>
      <c r="B2730" s="25" t="s">
        <v>2</v>
      </c>
      <c r="C2730" s="34"/>
      <c r="D2730" s="35">
        <f>SUM(D2721:D2729)</f>
        <v>81112.220339999985</v>
      </c>
      <c r="E2730" s="35">
        <f>SUM(E2721:E2729)</f>
        <v>1041.7</v>
      </c>
    </row>
    <row r="2731" spans="1:5">
      <c r="A2731" s="5" t="s">
        <v>525</v>
      </c>
      <c r="B2731" s="6"/>
      <c r="C2731" s="6"/>
      <c r="D2731" s="6"/>
      <c r="E2731" s="7"/>
    </row>
    <row r="2732" spans="1:5">
      <c r="A2732" s="17">
        <v>1</v>
      </c>
      <c r="B2732" s="18" t="s">
        <v>526</v>
      </c>
      <c r="C2732" s="19">
        <v>20503199101714</v>
      </c>
      <c r="D2732" s="20">
        <f>3221258.33/1000</f>
        <v>3221.2583300000001</v>
      </c>
      <c r="E2732" s="20"/>
    </row>
    <row r="2733" spans="1:5">
      <c r="A2733" s="17">
        <v>2</v>
      </c>
      <c r="B2733" s="18" t="s">
        <v>1018</v>
      </c>
      <c r="C2733" s="19">
        <v>3011201010218</v>
      </c>
      <c r="D2733" s="20">
        <f>1636400.26/1000</f>
        <v>1636.4002600000001</v>
      </c>
      <c r="E2733" s="20">
        <v>7428.6</v>
      </c>
    </row>
    <row r="2734" spans="1:5">
      <c r="A2734" s="17"/>
      <c r="B2734" s="25" t="s">
        <v>2</v>
      </c>
      <c r="C2734" s="34"/>
      <c r="D2734" s="35">
        <f>SUM(D2732:D2733)</f>
        <v>4857.65859</v>
      </c>
      <c r="E2734" s="35">
        <f>SUM(E2732:E2733)</f>
        <v>7428.6</v>
      </c>
    </row>
    <row r="2735" spans="1:5" s="16" customFormat="1">
      <c r="A2735" s="5" t="s">
        <v>38</v>
      </c>
      <c r="B2735" s="6"/>
      <c r="C2735" s="6"/>
      <c r="D2735" s="6"/>
      <c r="E2735" s="7"/>
    </row>
    <row r="2736" spans="1:5" s="16" customFormat="1">
      <c r="A2736" s="17">
        <v>1</v>
      </c>
      <c r="B2736" s="18" t="s">
        <v>1906</v>
      </c>
      <c r="C2736" s="19">
        <v>1312199010013</v>
      </c>
      <c r="D2736" s="20">
        <f>73391694.73/1000</f>
        <v>73391.694730000003</v>
      </c>
      <c r="E2736" s="20">
        <v>101357.4</v>
      </c>
    </row>
    <row r="2737" spans="1:5" s="16" customFormat="1">
      <c r="A2737" s="17">
        <v>2</v>
      </c>
      <c r="B2737" s="18" t="s">
        <v>1532</v>
      </c>
      <c r="C2737" s="19">
        <v>1711201110020</v>
      </c>
      <c r="D2737" s="20">
        <f>4958984.42/1000</f>
        <v>4958.9844199999998</v>
      </c>
      <c r="E2737" s="20"/>
    </row>
    <row r="2738" spans="1:5" s="16" customFormat="1">
      <c r="A2738" s="17">
        <v>3</v>
      </c>
      <c r="B2738" s="18" t="s">
        <v>2592</v>
      </c>
      <c r="C2738" s="19">
        <v>42504200710165</v>
      </c>
      <c r="D2738" s="20">
        <f>3738367.97/1000</f>
        <v>3738.3679700000002</v>
      </c>
      <c r="E2738" s="20"/>
    </row>
    <row r="2739" spans="1:5" s="16" customFormat="1">
      <c r="A2739" s="17">
        <v>4</v>
      </c>
      <c r="B2739" s="18" t="s">
        <v>2302</v>
      </c>
      <c r="C2739" s="19">
        <v>403200510034</v>
      </c>
      <c r="D2739" s="20">
        <f>1067296.62/1000</f>
        <v>1067.2966200000001</v>
      </c>
      <c r="E2739" s="20"/>
    </row>
    <row r="2740" spans="1:5" s="16" customFormat="1">
      <c r="A2740" s="17">
        <v>5</v>
      </c>
      <c r="B2740" s="18" t="s">
        <v>522</v>
      </c>
      <c r="C2740" s="19" t="s">
        <v>1836</v>
      </c>
      <c r="D2740" s="20"/>
      <c r="E2740" s="20">
        <v>7106.2717199999997</v>
      </c>
    </row>
    <row r="2741" spans="1:5" s="16" customFormat="1">
      <c r="A2741" s="17">
        <v>6</v>
      </c>
      <c r="B2741" s="18" t="s">
        <v>1848</v>
      </c>
      <c r="C2741" s="19" t="s">
        <v>1837</v>
      </c>
      <c r="D2741" s="20"/>
      <c r="E2741" s="20">
        <v>5745.6051699999998</v>
      </c>
    </row>
    <row r="2742" spans="1:5" s="16" customFormat="1">
      <c r="A2742" s="17">
        <v>7</v>
      </c>
      <c r="B2742" s="18" t="s">
        <v>2303</v>
      </c>
      <c r="C2742" s="19" t="s">
        <v>1838</v>
      </c>
      <c r="D2742" s="20"/>
      <c r="E2742" s="20">
        <v>2306.9082899999999</v>
      </c>
    </row>
    <row r="2743" spans="1:5" s="16" customFormat="1">
      <c r="A2743" s="17">
        <v>8</v>
      </c>
      <c r="B2743" s="18" t="s">
        <v>1676</v>
      </c>
      <c r="C2743" s="19" t="s">
        <v>1600</v>
      </c>
      <c r="D2743" s="20"/>
      <c r="E2743" s="20">
        <v>1869.9076500000001</v>
      </c>
    </row>
    <row r="2744" spans="1:5" s="16" customFormat="1">
      <c r="A2744" s="17">
        <v>9</v>
      </c>
      <c r="B2744" s="18" t="s">
        <v>1604</v>
      </c>
      <c r="C2744" s="19" t="s">
        <v>1603</v>
      </c>
      <c r="D2744" s="20"/>
      <c r="E2744" s="20">
        <v>609.42520999999999</v>
      </c>
    </row>
    <row r="2745" spans="1:5" s="16" customFormat="1">
      <c r="A2745" s="17"/>
      <c r="B2745" s="25" t="s">
        <v>2</v>
      </c>
      <c r="C2745" s="27"/>
      <c r="D2745" s="35">
        <f>SUM(D2736:D2744)</f>
        <v>83156.343739999997</v>
      </c>
      <c r="E2745" s="35">
        <f>SUM(E2736:E2744)</f>
        <v>118995.51804</v>
      </c>
    </row>
    <row r="2746" spans="1:5" s="16" customFormat="1">
      <c r="A2746" s="5" t="s">
        <v>23</v>
      </c>
      <c r="B2746" s="6"/>
      <c r="C2746" s="6"/>
      <c r="D2746" s="6"/>
      <c r="E2746" s="7"/>
    </row>
    <row r="2747" spans="1:5">
      <c r="A2747" s="17">
        <v>1</v>
      </c>
      <c r="B2747" s="18" t="s">
        <v>1682</v>
      </c>
      <c r="C2747" s="19">
        <v>1409201610169</v>
      </c>
      <c r="D2747" s="20">
        <f>1485216.85/1000</f>
        <v>1485.21685</v>
      </c>
      <c r="E2747" s="20"/>
    </row>
    <row r="2748" spans="1:5">
      <c r="A2748" s="17">
        <v>2</v>
      </c>
      <c r="B2748" s="18" t="s">
        <v>1528</v>
      </c>
      <c r="C2748" s="19">
        <v>20208198901297</v>
      </c>
      <c r="D2748" s="20">
        <f>1400139.65/1000</f>
        <v>1400.1396499999998</v>
      </c>
      <c r="E2748" s="20"/>
    </row>
    <row r="2749" spans="1:5">
      <c r="A2749" s="17">
        <v>3</v>
      </c>
      <c r="B2749" s="18" t="s">
        <v>3151</v>
      </c>
      <c r="C2749" s="19">
        <v>20105196600949</v>
      </c>
      <c r="D2749" s="20">
        <f>1294446.91/1000</f>
        <v>1294.4469099999999</v>
      </c>
      <c r="E2749" s="20"/>
    </row>
    <row r="2750" spans="1:5">
      <c r="A2750" s="17">
        <v>4</v>
      </c>
      <c r="B2750" s="18" t="s">
        <v>437</v>
      </c>
      <c r="C2750" s="19">
        <v>21906199901017</v>
      </c>
      <c r="D2750" s="20">
        <f>1273653.6/1000</f>
        <v>1273.6536000000001</v>
      </c>
      <c r="E2750" s="20"/>
    </row>
    <row r="2751" spans="1:5">
      <c r="A2751" s="17">
        <v>5</v>
      </c>
      <c r="B2751" s="18" t="s">
        <v>1839</v>
      </c>
      <c r="C2751" s="19">
        <v>22206196010017</v>
      </c>
      <c r="D2751" s="20">
        <f>963178.04/1000</f>
        <v>963.17804000000001</v>
      </c>
      <c r="E2751" s="20"/>
    </row>
    <row r="2752" spans="1:5">
      <c r="A2752" s="17">
        <v>6</v>
      </c>
      <c r="B2752" s="18" t="s">
        <v>1437</v>
      </c>
      <c r="C2752" s="19">
        <v>403199210052</v>
      </c>
      <c r="D2752" s="20">
        <f>871194.74/1000</f>
        <v>871.19474000000002</v>
      </c>
      <c r="E2752" s="20"/>
    </row>
    <row r="2753" spans="1:5">
      <c r="A2753" s="17">
        <v>7</v>
      </c>
      <c r="B2753" s="18" t="s">
        <v>1529</v>
      </c>
      <c r="C2753" s="19">
        <v>20602198400668</v>
      </c>
      <c r="D2753" s="20">
        <f>852714.53/1000</f>
        <v>852.71453000000008</v>
      </c>
      <c r="E2753" s="20"/>
    </row>
    <row r="2754" spans="1:5">
      <c r="A2754" s="17">
        <v>8</v>
      </c>
      <c r="B2754" s="18" t="s">
        <v>1668</v>
      </c>
      <c r="C2754" s="19">
        <v>22302197101219</v>
      </c>
      <c r="D2754" s="20">
        <f>670167.87/1000</f>
        <v>670.16786999999999</v>
      </c>
      <c r="E2754" s="20"/>
    </row>
    <row r="2755" spans="1:5">
      <c r="A2755" s="17">
        <v>9</v>
      </c>
      <c r="B2755" s="18" t="s">
        <v>3153</v>
      </c>
      <c r="C2755" s="19" t="s">
        <v>3152</v>
      </c>
      <c r="D2755" s="20"/>
      <c r="E2755" s="20">
        <v>804.8</v>
      </c>
    </row>
    <row r="2756" spans="1:5" s="16" customFormat="1">
      <c r="A2756" s="17"/>
      <c r="B2756" s="25" t="s">
        <v>2</v>
      </c>
      <c r="C2756" s="27"/>
      <c r="D2756" s="35">
        <f>SUM(D2747:D2755)</f>
        <v>8810.7121900000002</v>
      </c>
      <c r="E2756" s="35">
        <f>SUM(E2747:E2755)</f>
        <v>804.8</v>
      </c>
    </row>
    <row r="2757" spans="1:5" s="16" customFormat="1">
      <c r="A2757" s="5" t="s">
        <v>20</v>
      </c>
      <c r="B2757" s="6"/>
      <c r="C2757" s="6"/>
      <c r="D2757" s="6"/>
      <c r="E2757" s="7"/>
    </row>
    <row r="2758" spans="1:5">
      <c r="A2758" s="17">
        <v>1</v>
      </c>
      <c r="B2758" s="18" t="s">
        <v>1905</v>
      </c>
      <c r="C2758" s="19">
        <v>1609200310175</v>
      </c>
      <c r="D2758" s="20">
        <f>41586662.52/1000</f>
        <v>41586.662520000005</v>
      </c>
      <c r="E2758" s="20">
        <v>862.3</v>
      </c>
    </row>
    <row r="2759" spans="1:5">
      <c r="A2759" s="17">
        <v>2</v>
      </c>
      <c r="B2759" s="18" t="s">
        <v>929</v>
      </c>
      <c r="C2759" s="19">
        <v>20502197800356</v>
      </c>
      <c r="D2759" s="20">
        <f>12522184.05/1000</f>
        <v>12522.18405</v>
      </c>
      <c r="E2759" s="20"/>
    </row>
    <row r="2760" spans="1:5">
      <c r="A2760" s="17">
        <v>3</v>
      </c>
      <c r="B2760" s="18" t="s">
        <v>566</v>
      </c>
      <c r="C2760" s="19">
        <v>1410201510252</v>
      </c>
      <c r="D2760" s="20">
        <f>3498059.21/1000</f>
        <v>3498.0592099999999</v>
      </c>
      <c r="E2760" s="20"/>
    </row>
    <row r="2761" spans="1:5">
      <c r="A2761" s="17">
        <v>4</v>
      </c>
      <c r="B2761" s="18" t="s">
        <v>2301</v>
      </c>
      <c r="C2761" s="19">
        <v>1210201610023</v>
      </c>
      <c r="D2761" s="20">
        <f>831246.44/1000</f>
        <v>831.24643999999989</v>
      </c>
      <c r="E2761" s="20"/>
    </row>
    <row r="2762" spans="1:5" s="16" customFormat="1">
      <c r="A2762" s="17"/>
      <c r="B2762" s="25" t="s">
        <v>2</v>
      </c>
      <c r="C2762" s="27"/>
      <c r="D2762" s="35">
        <f>SUM(D2758:D2761)</f>
        <v>58438.152220000011</v>
      </c>
      <c r="E2762" s="35">
        <f>SUM(E2758:E2761)</f>
        <v>862.3</v>
      </c>
    </row>
    <row r="2763" spans="1:5" s="16" customFormat="1">
      <c r="A2763" s="5" t="s">
        <v>22</v>
      </c>
      <c r="B2763" s="6"/>
      <c r="C2763" s="6"/>
      <c r="D2763" s="6"/>
      <c r="E2763" s="7"/>
    </row>
    <row r="2764" spans="1:5" s="16" customFormat="1">
      <c r="A2764" s="17">
        <v>1</v>
      </c>
      <c r="B2764" s="18" t="s">
        <v>709</v>
      </c>
      <c r="C2764" s="19">
        <v>23003199400492</v>
      </c>
      <c r="D2764" s="20">
        <f>38994240.16/1000</f>
        <v>38994.240159999994</v>
      </c>
      <c r="E2764" s="20"/>
    </row>
    <row r="2765" spans="1:5" s="16" customFormat="1">
      <c r="A2765" s="17">
        <v>2</v>
      </c>
      <c r="B2765" s="18" t="s">
        <v>523</v>
      </c>
      <c r="C2765" s="19">
        <v>2811200710055</v>
      </c>
      <c r="D2765" s="20">
        <f>2450757.44/1000</f>
        <v>2450.7574399999999</v>
      </c>
      <c r="E2765" s="20"/>
    </row>
    <row r="2766" spans="1:5" s="16" customFormat="1">
      <c r="A2766" s="17">
        <v>3</v>
      </c>
      <c r="B2766" s="18" t="s">
        <v>220</v>
      </c>
      <c r="C2766" s="19">
        <v>12601199101026</v>
      </c>
      <c r="D2766" s="20">
        <f>2180185.47/1000</f>
        <v>2180.1854700000004</v>
      </c>
      <c r="E2766" s="20"/>
    </row>
    <row r="2767" spans="1:5" s="16" customFormat="1">
      <c r="A2767" s="17">
        <v>4</v>
      </c>
      <c r="B2767" s="18" t="s">
        <v>221</v>
      </c>
      <c r="C2767" s="19">
        <v>20512199601031</v>
      </c>
      <c r="D2767" s="20">
        <f>1432673.88/1000</f>
        <v>1432.6738799999998</v>
      </c>
      <c r="E2767" s="20"/>
    </row>
    <row r="2768" spans="1:5" s="16" customFormat="1">
      <c r="A2768" s="17">
        <v>5</v>
      </c>
      <c r="B2768" s="18" t="s">
        <v>1980</v>
      </c>
      <c r="C2768" s="19">
        <v>2806201210141</v>
      </c>
      <c r="D2768" s="20">
        <f>1178885.86/1000</f>
        <v>1178.8858600000001</v>
      </c>
      <c r="E2768" s="20"/>
    </row>
    <row r="2769" spans="1:5" s="16" customFormat="1">
      <c r="A2769" s="17">
        <v>6</v>
      </c>
      <c r="B2769" s="18" t="s">
        <v>219</v>
      </c>
      <c r="C2769" s="19">
        <v>20804196600931</v>
      </c>
      <c r="D2769" s="20">
        <f>1161494.78/1000</f>
        <v>1161.49478</v>
      </c>
      <c r="E2769" s="20"/>
    </row>
    <row r="2770" spans="1:5" s="16" customFormat="1">
      <c r="A2770" s="17">
        <v>7</v>
      </c>
      <c r="B2770" s="18" t="s">
        <v>1091</v>
      </c>
      <c r="C2770" s="19">
        <v>2401201310185</v>
      </c>
      <c r="D2770" s="20">
        <f>889797.96/1000</f>
        <v>889.79795999999999</v>
      </c>
      <c r="E2770" s="20"/>
    </row>
    <row r="2771" spans="1:5" s="16" customFormat="1">
      <c r="A2771" s="17">
        <v>8</v>
      </c>
      <c r="B2771" s="18" t="s">
        <v>586</v>
      </c>
      <c r="C2771" s="19">
        <v>1205200410016</v>
      </c>
      <c r="D2771" s="20">
        <f>566827.27/1000</f>
        <v>566.82727</v>
      </c>
      <c r="E2771" s="20"/>
    </row>
    <row r="2772" spans="1:5" s="16" customFormat="1">
      <c r="A2772" s="17">
        <v>9</v>
      </c>
      <c r="B2772" s="18" t="s">
        <v>1904</v>
      </c>
      <c r="C2772" s="19" t="s">
        <v>1601</v>
      </c>
      <c r="D2772" s="20"/>
      <c r="E2772" s="20">
        <v>1934.4827200000002</v>
      </c>
    </row>
    <row r="2773" spans="1:5" s="16" customFormat="1">
      <c r="A2773" s="17">
        <v>10</v>
      </c>
      <c r="B2773" s="18" t="s">
        <v>2300</v>
      </c>
      <c r="C2773" s="19" t="s">
        <v>2299</v>
      </c>
      <c r="D2773" s="20"/>
      <c r="E2773" s="20">
        <v>950.10950999999989</v>
      </c>
    </row>
    <row r="2774" spans="1:5" s="16" customFormat="1">
      <c r="A2774" s="17">
        <v>11</v>
      </c>
      <c r="B2774" s="18" t="s">
        <v>1847</v>
      </c>
      <c r="C2774" s="19" t="s">
        <v>1602</v>
      </c>
      <c r="D2774" s="20"/>
      <c r="E2774" s="20">
        <v>686.61524999999995</v>
      </c>
    </row>
    <row r="2775" spans="1:5" s="16" customFormat="1">
      <c r="A2775" s="17"/>
      <c r="B2775" s="25" t="s">
        <v>2</v>
      </c>
      <c r="C2775" s="27"/>
      <c r="D2775" s="35">
        <f>SUM(D2764:D2774)</f>
        <v>48854.862820000009</v>
      </c>
      <c r="E2775" s="35">
        <f>SUM(E2764:E2774)</f>
        <v>3571.20748</v>
      </c>
    </row>
    <row r="2776" spans="1:5">
      <c r="A2776" s="5" t="s">
        <v>21</v>
      </c>
      <c r="B2776" s="6"/>
      <c r="C2776" s="6"/>
      <c r="D2776" s="6"/>
      <c r="E2776" s="7"/>
    </row>
    <row r="2777" spans="1:5">
      <c r="A2777" s="17">
        <v>1</v>
      </c>
      <c r="B2777" s="18" t="s">
        <v>692</v>
      </c>
      <c r="C2777" s="19">
        <v>2808201910016</v>
      </c>
      <c r="D2777" s="20">
        <f>165772941.28/1000</f>
        <v>165772.94128</v>
      </c>
      <c r="E2777" s="20"/>
    </row>
    <row r="2778" spans="1:5">
      <c r="A2778" s="17">
        <v>2</v>
      </c>
      <c r="B2778" s="18" t="s">
        <v>658</v>
      </c>
      <c r="C2778" s="19">
        <v>2811201910150</v>
      </c>
      <c r="D2778" s="20">
        <f>110125854.27/1000</f>
        <v>110125.85427</v>
      </c>
      <c r="E2778" s="20"/>
    </row>
    <row r="2779" spans="1:5">
      <c r="A2779" s="17">
        <v>3</v>
      </c>
      <c r="B2779" s="18" t="s">
        <v>1093</v>
      </c>
      <c r="C2779" s="19">
        <v>1403201910051</v>
      </c>
      <c r="D2779" s="20">
        <f>80333190.04/1000</f>
        <v>80333.190040000001</v>
      </c>
      <c r="E2779" s="20"/>
    </row>
    <row r="2780" spans="1:5">
      <c r="A2780" s="17">
        <v>4</v>
      </c>
      <c r="B2780" s="18" t="s">
        <v>557</v>
      </c>
      <c r="C2780" s="19">
        <v>2407202010055</v>
      </c>
      <c r="D2780" s="20">
        <f>69272873.6/1000</f>
        <v>69272.873599999992</v>
      </c>
      <c r="E2780" s="20"/>
    </row>
    <row r="2781" spans="1:5">
      <c r="A2781" s="17">
        <v>5</v>
      </c>
      <c r="B2781" s="18" t="s">
        <v>432</v>
      </c>
      <c r="C2781" s="19">
        <v>2910201910016</v>
      </c>
      <c r="D2781" s="20">
        <f>55206977.34/1000</f>
        <v>55206.977340000005</v>
      </c>
      <c r="E2781" s="20"/>
    </row>
    <row r="2782" spans="1:5">
      <c r="A2782" s="17">
        <v>6</v>
      </c>
      <c r="B2782" s="18" t="s">
        <v>1094</v>
      </c>
      <c r="C2782" s="19">
        <v>2701201710336</v>
      </c>
      <c r="D2782" s="20">
        <f>35766387.45/1000</f>
        <v>35766.387450000002</v>
      </c>
      <c r="E2782" s="20"/>
    </row>
    <row r="2783" spans="1:5">
      <c r="A2783" s="17">
        <v>7</v>
      </c>
      <c r="B2783" s="18" t="s">
        <v>436</v>
      </c>
      <c r="C2783" s="19">
        <v>2312201510044</v>
      </c>
      <c r="D2783" s="20">
        <f>17225501.89/1000</f>
        <v>17225.50189</v>
      </c>
      <c r="E2783" s="20"/>
    </row>
    <row r="2784" spans="1:5">
      <c r="A2784" s="17">
        <v>8</v>
      </c>
      <c r="B2784" s="18" t="s">
        <v>693</v>
      </c>
      <c r="C2784" s="19">
        <v>810201910022</v>
      </c>
      <c r="D2784" s="20">
        <f>12963345.87/1000</f>
        <v>12963.345869999999</v>
      </c>
      <c r="E2784" s="20"/>
    </row>
    <row r="2785" spans="1:5">
      <c r="A2785" s="17">
        <v>9</v>
      </c>
      <c r="B2785" s="18" t="s">
        <v>427</v>
      </c>
      <c r="C2785" s="19">
        <v>2911201810130</v>
      </c>
      <c r="D2785" s="20">
        <f>9983760.86/1000</f>
        <v>9983.7608599999985</v>
      </c>
      <c r="E2785" s="20"/>
    </row>
    <row r="2786" spans="1:5">
      <c r="A2786" s="17">
        <v>10</v>
      </c>
      <c r="B2786" s="18" t="s">
        <v>1846</v>
      </c>
      <c r="C2786" s="19">
        <v>2808201210151</v>
      </c>
      <c r="D2786" s="20">
        <f>6542404.18/1000</f>
        <v>6542.4041799999995</v>
      </c>
      <c r="E2786" s="20"/>
    </row>
    <row r="2787" spans="1:5">
      <c r="A2787" s="17">
        <v>11</v>
      </c>
      <c r="B2787" s="18" t="s">
        <v>428</v>
      </c>
      <c r="C2787" s="19">
        <v>2405201010224</v>
      </c>
      <c r="D2787" s="20">
        <f>5814440.4/1000</f>
        <v>5814.4404000000004</v>
      </c>
      <c r="E2787" s="20"/>
    </row>
    <row r="2788" spans="1:5">
      <c r="A2788" s="17">
        <v>12</v>
      </c>
      <c r="B2788" s="18" t="s">
        <v>1530</v>
      </c>
      <c r="C2788" s="19">
        <v>2907202210014</v>
      </c>
      <c r="D2788" s="20">
        <f>4528799.53/1000</f>
        <v>4528.7995300000002</v>
      </c>
      <c r="E2788" s="20"/>
    </row>
    <row r="2789" spans="1:5">
      <c r="A2789" s="17">
        <v>13</v>
      </c>
      <c r="B2789" s="18" t="s">
        <v>1840</v>
      </c>
      <c r="C2789" s="19">
        <v>2301200710017</v>
      </c>
      <c r="D2789" s="20">
        <f>3570767.27/1000</f>
        <v>3570.7672699999998</v>
      </c>
      <c r="E2789" s="20"/>
    </row>
    <row r="2790" spans="1:5">
      <c r="A2790" s="17">
        <v>14</v>
      </c>
      <c r="B2790" s="18" t="s">
        <v>789</v>
      </c>
      <c r="C2790" s="19">
        <v>2407202010068</v>
      </c>
      <c r="D2790" s="20">
        <f>3361108.49/1000</f>
        <v>3361.1084900000001</v>
      </c>
      <c r="E2790" s="20"/>
    </row>
    <row r="2791" spans="1:5">
      <c r="A2791" s="17">
        <v>15</v>
      </c>
      <c r="B2791" s="18" t="s">
        <v>2297</v>
      </c>
      <c r="C2791" s="19">
        <v>2409199610275</v>
      </c>
      <c r="D2791" s="20">
        <f>3267645.72/1000</f>
        <v>3267.64572</v>
      </c>
      <c r="E2791" s="20">
        <v>1030.2</v>
      </c>
    </row>
    <row r="2792" spans="1:5">
      <c r="A2792" s="17">
        <v>16</v>
      </c>
      <c r="B2792" s="18" t="s">
        <v>429</v>
      </c>
      <c r="C2792" s="19">
        <v>2506201810010</v>
      </c>
      <c r="D2792" s="20">
        <f>3172496/1000</f>
        <v>3172.4960000000001</v>
      </c>
      <c r="E2792" s="20"/>
    </row>
    <row r="2793" spans="1:5">
      <c r="A2793" s="17">
        <v>17</v>
      </c>
      <c r="B2793" s="18" t="s">
        <v>430</v>
      </c>
      <c r="C2793" s="19">
        <v>1905201710155</v>
      </c>
      <c r="D2793" s="20">
        <f>2657081.87/1000</f>
        <v>2657.08187</v>
      </c>
      <c r="E2793" s="20"/>
    </row>
    <row r="2794" spans="1:5">
      <c r="A2794" s="17">
        <v>18</v>
      </c>
      <c r="B2794" s="18" t="s">
        <v>431</v>
      </c>
      <c r="C2794" s="19">
        <v>509201310111</v>
      </c>
      <c r="D2794" s="20">
        <f>2637982.25/1000</f>
        <v>2637.98225</v>
      </c>
      <c r="E2794" s="20"/>
    </row>
    <row r="2795" spans="1:5">
      <c r="A2795" s="17">
        <v>19</v>
      </c>
      <c r="B2795" s="18" t="s">
        <v>659</v>
      </c>
      <c r="C2795" s="19">
        <v>3101202010051</v>
      </c>
      <c r="D2795" s="20">
        <f>2072470.33/1000</f>
        <v>2072.4703300000001</v>
      </c>
      <c r="E2795" s="20"/>
    </row>
    <row r="2796" spans="1:5">
      <c r="A2796" s="17">
        <v>20</v>
      </c>
      <c r="B2796" s="18" t="s">
        <v>3160</v>
      </c>
      <c r="C2796" s="19">
        <v>12005194500477</v>
      </c>
      <c r="D2796" s="20">
        <f>1834528.32/1000</f>
        <v>1834.5283200000001</v>
      </c>
      <c r="E2796" s="20"/>
    </row>
    <row r="2797" spans="1:5">
      <c r="A2797" s="17">
        <v>21</v>
      </c>
      <c r="B2797" s="18" t="s">
        <v>3161</v>
      </c>
      <c r="C2797" s="19">
        <v>20405198000626</v>
      </c>
      <c r="D2797" s="20">
        <f>1823958.2/1000</f>
        <v>1823.9582</v>
      </c>
      <c r="E2797" s="20"/>
    </row>
    <row r="2798" spans="1:5">
      <c r="A2798" s="17">
        <v>22</v>
      </c>
      <c r="B2798" s="18" t="s">
        <v>776</v>
      </c>
      <c r="C2798" s="19">
        <v>902200610029</v>
      </c>
      <c r="D2798" s="20">
        <f>1747685.03/1000</f>
        <v>1747.6850300000001</v>
      </c>
      <c r="E2798" s="20"/>
    </row>
    <row r="2799" spans="1:5">
      <c r="A2799" s="17">
        <v>23</v>
      </c>
      <c r="B2799" s="18" t="s">
        <v>1901</v>
      </c>
      <c r="C2799" s="19">
        <v>22606197600669</v>
      </c>
      <c r="D2799" s="20">
        <f>1327200/1000</f>
        <v>1327.2</v>
      </c>
      <c r="E2799" s="20"/>
    </row>
    <row r="2800" spans="1:5">
      <c r="A2800" s="17">
        <v>24</v>
      </c>
      <c r="B2800" s="18" t="s">
        <v>694</v>
      </c>
      <c r="C2800" s="19">
        <v>207201910024</v>
      </c>
      <c r="D2800" s="20">
        <f>1233458.87/1000</f>
        <v>1233.4588700000002</v>
      </c>
      <c r="E2800" s="20"/>
    </row>
    <row r="2801" spans="1:5">
      <c r="A2801" s="17">
        <v>25</v>
      </c>
      <c r="B2801" s="18" t="s">
        <v>433</v>
      </c>
      <c r="C2801" s="19">
        <v>612201710058</v>
      </c>
      <c r="D2801" s="20">
        <f>1130058.9/1000</f>
        <v>1130.0589</v>
      </c>
      <c r="E2801" s="20"/>
    </row>
    <row r="2802" spans="1:5">
      <c r="A2802" s="17">
        <v>26</v>
      </c>
      <c r="B2802" s="18" t="s">
        <v>1531</v>
      </c>
      <c r="C2802" s="19">
        <v>10302200000691</v>
      </c>
      <c r="D2802" s="20">
        <f>932367.1/1000</f>
        <v>932.36709999999994</v>
      </c>
      <c r="E2802" s="20"/>
    </row>
    <row r="2803" spans="1:5">
      <c r="A2803" s="17">
        <v>27</v>
      </c>
      <c r="B2803" s="18" t="s">
        <v>1841</v>
      </c>
      <c r="C2803" s="19">
        <v>2502200410395</v>
      </c>
      <c r="D2803" s="20">
        <f>929725.06/1000</f>
        <v>929.7250600000001</v>
      </c>
      <c r="E2803" s="20"/>
    </row>
    <row r="2804" spans="1:5">
      <c r="A2804" s="17">
        <v>28</v>
      </c>
      <c r="B2804" s="18" t="s">
        <v>1095</v>
      </c>
      <c r="C2804" s="19">
        <v>1703202210054</v>
      </c>
      <c r="D2804" s="20">
        <f>919815.78/1000</f>
        <v>919.81578000000002</v>
      </c>
      <c r="E2804" s="20"/>
    </row>
    <row r="2805" spans="1:5">
      <c r="A2805" s="17">
        <v>29</v>
      </c>
      <c r="B2805" s="18" t="s">
        <v>434</v>
      </c>
      <c r="C2805" s="19">
        <v>401201610173</v>
      </c>
      <c r="D2805" s="20">
        <f>869193.87/1000</f>
        <v>869.19386999999995</v>
      </c>
      <c r="E2805" s="20"/>
    </row>
    <row r="2806" spans="1:5">
      <c r="A2806" s="17">
        <v>30</v>
      </c>
      <c r="B2806" s="18" t="s">
        <v>1978</v>
      </c>
      <c r="C2806" s="19">
        <v>2508200310037</v>
      </c>
      <c r="D2806" s="20">
        <f>852983.25/1000</f>
        <v>852.98325</v>
      </c>
      <c r="E2806" s="20"/>
    </row>
    <row r="2807" spans="1:5">
      <c r="A2807" s="17">
        <v>31</v>
      </c>
      <c r="B2807" s="18" t="s">
        <v>581</v>
      </c>
      <c r="C2807" s="19">
        <v>706201110132</v>
      </c>
      <c r="D2807" s="20">
        <f>791148.29/1000</f>
        <v>791.14829000000009</v>
      </c>
      <c r="E2807" s="20"/>
    </row>
    <row r="2808" spans="1:5">
      <c r="A2808" s="17">
        <v>32</v>
      </c>
      <c r="B2808" s="18" t="s">
        <v>1979</v>
      </c>
      <c r="C2808" s="19">
        <v>20812198900199</v>
      </c>
      <c r="D2808" s="20">
        <f>689000/1000</f>
        <v>689</v>
      </c>
      <c r="E2808" s="20"/>
    </row>
    <row r="2809" spans="1:5">
      <c r="A2809" s="17">
        <v>33</v>
      </c>
      <c r="B2809" s="18" t="s">
        <v>2298</v>
      </c>
      <c r="C2809" s="19">
        <v>2910199610170</v>
      </c>
      <c r="D2809" s="20">
        <f>672107.05/1000</f>
        <v>672.10705000000007</v>
      </c>
      <c r="E2809" s="20"/>
    </row>
    <row r="2810" spans="1:5">
      <c r="A2810" s="17">
        <v>34</v>
      </c>
      <c r="B2810" s="18" t="s">
        <v>1670</v>
      </c>
      <c r="C2810" s="19">
        <v>2109199210198</v>
      </c>
      <c r="D2810" s="20">
        <f>632914.95/1000</f>
        <v>632.91494999999998</v>
      </c>
      <c r="E2810" s="20"/>
    </row>
    <row r="2811" spans="1:5">
      <c r="A2811" s="17">
        <v>35</v>
      </c>
      <c r="B2811" s="18" t="s">
        <v>1096</v>
      </c>
      <c r="C2811" s="19">
        <v>22507196300556</v>
      </c>
      <c r="D2811" s="20">
        <f>631062/1000</f>
        <v>631.06200000000001</v>
      </c>
      <c r="E2811" s="20"/>
    </row>
    <row r="2812" spans="1:5">
      <c r="A2812" s="17">
        <v>36</v>
      </c>
      <c r="B2812" s="18" t="s">
        <v>1669</v>
      </c>
      <c r="C2812" s="19">
        <v>1803202110128</v>
      </c>
      <c r="D2812" s="20">
        <f>605594.16/1000</f>
        <v>605.59415999999999</v>
      </c>
      <c r="E2812" s="20"/>
    </row>
    <row r="2813" spans="1:5">
      <c r="A2813" s="17">
        <v>37</v>
      </c>
      <c r="B2813" s="18" t="s">
        <v>435</v>
      </c>
      <c r="C2813" s="19">
        <v>802201610049</v>
      </c>
      <c r="D2813" s="20">
        <f>534427.43/1000</f>
        <v>534.42743000000007</v>
      </c>
      <c r="E2813" s="20"/>
    </row>
    <row r="2814" spans="1:5">
      <c r="A2814" s="17">
        <v>38</v>
      </c>
      <c r="B2814" s="18" t="s">
        <v>3162</v>
      </c>
      <c r="C2814" s="19">
        <v>42904202210493</v>
      </c>
      <c r="D2814" s="20">
        <f>520887.9/1000</f>
        <v>520.88790000000006</v>
      </c>
      <c r="E2814" s="20"/>
    </row>
    <row r="2815" spans="1:5">
      <c r="A2815" s="17">
        <v>39</v>
      </c>
      <c r="B2815" s="18" t="s">
        <v>790</v>
      </c>
      <c r="C2815" s="19">
        <v>1812200810097</v>
      </c>
      <c r="D2815" s="20">
        <f>514326.96/1000</f>
        <v>514.32695999999999</v>
      </c>
      <c r="E2815" s="20"/>
    </row>
    <row r="2816" spans="1:5">
      <c r="A2816" s="17">
        <v>40</v>
      </c>
      <c r="B2816" s="18" t="s">
        <v>1902</v>
      </c>
      <c r="C2816" s="19">
        <v>23009198400618</v>
      </c>
      <c r="D2816" s="20">
        <f>502560/1000</f>
        <v>502.56</v>
      </c>
      <c r="E2816" s="20"/>
    </row>
    <row r="2817" spans="1:5">
      <c r="A2817" s="17">
        <v>41</v>
      </c>
      <c r="B2817" s="18" t="s">
        <v>1903</v>
      </c>
      <c r="C2817" s="19">
        <v>12406198901842</v>
      </c>
      <c r="D2817" s="20">
        <f>500000/1000</f>
        <v>500</v>
      </c>
      <c r="E2817" s="20"/>
    </row>
    <row r="2818" spans="1:5">
      <c r="A2818" s="17">
        <v>42</v>
      </c>
      <c r="B2818" s="18" t="s">
        <v>1676</v>
      </c>
      <c r="C2818" s="19" t="s">
        <v>1600</v>
      </c>
      <c r="D2818" s="20"/>
      <c r="E2818" s="20">
        <v>2332.6</v>
      </c>
    </row>
    <row r="2819" spans="1:5">
      <c r="A2819" s="17"/>
      <c r="B2819" s="25" t="s">
        <v>2</v>
      </c>
      <c r="C2819" s="34"/>
      <c r="D2819" s="35">
        <f>SUM(D2777:D2818)</f>
        <v>614471.03175999993</v>
      </c>
      <c r="E2819" s="35">
        <f>SUM(E2777:E2818)</f>
        <v>3362.8</v>
      </c>
    </row>
    <row r="2820" spans="1:5">
      <c r="A2820" s="5" t="s">
        <v>785</v>
      </c>
      <c r="B2820" s="6"/>
      <c r="C2820" s="6"/>
      <c r="D2820" s="6"/>
      <c r="E2820" s="7"/>
    </row>
    <row r="2821" spans="1:5">
      <c r="A2821" s="17">
        <v>1</v>
      </c>
      <c r="B2821" s="18" t="s">
        <v>1097</v>
      </c>
      <c r="C2821" s="19">
        <v>909201110027</v>
      </c>
      <c r="D2821" s="20">
        <f>43399778.23/1000</f>
        <v>43399.778229999996</v>
      </c>
      <c r="E2821" s="20"/>
    </row>
    <row r="2822" spans="1:5">
      <c r="A2822" s="17">
        <v>2</v>
      </c>
      <c r="B2822" s="18" t="s">
        <v>1842</v>
      </c>
      <c r="C2822" s="19">
        <v>2111202210075</v>
      </c>
      <c r="D2822" s="20">
        <f>19769675.56/1000</f>
        <v>19769.67556</v>
      </c>
      <c r="E2822" s="20"/>
    </row>
    <row r="2823" spans="1:5">
      <c r="A2823" s="17">
        <v>3</v>
      </c>
      <c r="B2823" s="18" t="s">
        <v>1098</v>
      </c>
      <c r="C2823" s="19">
        <v>20602196100228</v>
      </c>
      <c r="D2823" s="20">
        <f>7609078.36/1000</f>
        <v>7609.0783600000004</v>
      </c>
      <c r="E2823" s="20"/>
    </row>
    <row r="2824" spans="1:5">
      <c r="A2824" s="17">
        <v>4</v>
      </c>
      <c r="B2824" s="18" t="s">
        <v>1099</v>
      </c>
      <c r="C2824" s="19">
        <v>21004198100644</v>
      </c>
      <c r="D2824" s="20">
        <f>2578177.96/1000</f>
        <v>2578.17796</v>
      </c>
      <c r="E2824" s="20"/>
    </row>
    <row r="2825" spans="1:5">
      <c r="A2825" s="17">
        <v>5</v>
      </c>
      <c r="B2825" s="18" t="s">
        <v>2850</v>
      </c>
      <c r="C2825" s="19">
        <v>41205202210280</v>
      </c>
      <c r="D2825" s="20">
        <f>1780735.3/1000</f>
        <v>1780.7353000000001</v>
      </c>
      <c r="E2825" s="20"/>
    </row>
    <row r="2826" spans="1:5">
      <c r="A2826" s="17"/>
      <c r="B2826" s="25"/>
      <c r="C2826" s="34"/>
      <c r="D2826" s="35">
        <f>SUM(D2821:D2825)</f>
        <v>75137.44541</v>
      </c>
      <c r="E2826" s="35">
        <f>SUM(E2821:E2824)</f>
        <v>0</v>
      </c>
    </row>
    <row r="2827" spans="1:5">
      <c r="A2827" s="5" t="s">
        <v>641</v>
      </c>
      <c r="B2827" s="6"/>
      <c r="C2827" s="6"/>
      <c r="D2827" s="6"/>
      <c r="E2827" s="7"/>
    </row>
    <row r="2828" spans="1:5">
      <c r="A2828" s="17">
        <v>1</v>
      </c>
      <c r="B2828" s="18" t="s">
        <v>2844</v>
      </c>
      <c r="C2828" s="19">
        <v>2210201510096</v>
      </c>
      <c r="D2828" s="20">
        <f>31664049.74/1000</f>
        <v>31664.049739999999</v>
      </c>
      <c r="E2828" s="20"/>
    </row>
    <row r="2829" spans="1:5">
      <c r="A2829" s="17">
        <v>2</v>
      </c>
      <c r="B2829" s="18" t="s">
        <v>2845</v>
      </c>
      <c r="C2829" s="19">
        <v>2001201410024</v>
      </c>
      <c r="D2829" s="20">
        <f>30953869.31/1000</f>
        <v>30953.869309999998</v>
      </c>
      <c r="E2829" s="20"/>
    </row>
    <row r="2830" spans="1:5">
      <c r="A2830" s="17">
        <v>3</v>
      </c>
      <c r="B2830" s="18" t="s">
        <v>1896</v>
      </c>
      <c r="C2830" s="19">
        <v>109199510030</v>
      </c>
      <c r="D2830" s="20">
        <f>20255550.33/1000</f>
        <v>20255.550329999998</v>
      </c>
      <c r="E2830" s="20">
        <v>126302.3</v>
      </c>
    </row>
    <row r="2831" spans="1:5">
      <c r="A2831" s="17">
        <v>4</v>
      </c>
      <c r="B2831" s="18" t="s">
        <v>904</v>
      </c>
      <c r="C2831" s="19">
        <v>21110200150458</v>
      </c>
      <c r="D2831" s="20">
        <f>12419242.63/1000</f>
        <v>12419.242630000001</v>
      </c>
      <c r="E2831" s="20"/>
    </row>
    <row r="2832" spans="1:5">
      <c r="A2832" s="17">
        <v>5</v>
      </c>
      <c r="B2832" s="18" t="s">
        <v>644</v>
      </c>
      <c r="C2832" s="19">
        <v>10112197100831</v>
      </c>
      <c r="D2832" s="20">
        <f>3640842/1000</f>
        <v>3640.8420000000001</v>
      </c>
      <c r="E2832" s="20"/>
    </row>
    <row r="2833" spans="1:5">
      <c r="A2833" s="17">
        <v>6</v>
      </c>
      <c r="B2833" s="18" t="s">
        <v>2846</v>
      </c>
      <c r="C2833" s="19">
        <v>501196710014</v>
      </c>
      <c r="D2833" s="20">
        <f>3322910.65/1000</f>
        <v>3322.9106499999998</v>
      </c>
      <c r="E2833" s="20">
        <v>108578.6</v>
      </c>
    </row>
    <row r="2834" spans="1:5">
      <c r="A2834" s="17">
        <v>7</v>
      </c>
      <c r="B2834" s="18" t="s">
        <v>786</v>
      </c>
      <c r="C2834" s="19">
        <v>1404201710075</v>
      </c>
      <c r="D2834" s="20">
        <f>2436487.98/1000</f>
        <v>2436.4879799999999</v>
      </c>
      <c r="E2834" s="20">
        <v>31293.3</v>
      </c>
    </row>
    <row r="2835" spans="1:5">
      <c r="A2835" s="17">
        <v>8</v>
      </c>
      <c r="B2835" s="18" t="s">
        <v>1024</v>
      </c>
      <c r="C2835" s="19">
        <v>20709199100515</v>
      </c>
      <c r="D2835" s="20">
        <f>1984212.62/1000</f>
        <v>1984.21262</v>
      </c>
      <c r="E2835" s="20"/>
    </row>
    <row r="2836" spans="1:5">
      <c r="A2836" s="17">
        <v>9</v>
      </c>
      <c r="B2836" s="18" t="s">
        <v>1409</v>
      </c>
      <c r="C2836" s="19">
        <v>2609201410014</v>
      </c>
      <c r="D2836" s="20">
        <f>943830.77/1000</f>
        <v>943.83077000000003</v>
      </c>
      <c r="E2836" s="20"/>
    </row>
    <row r="2837" spans="1:5">
      <c r="A2837" s="17">
        <v>10</v>
      </c>
      <c r="B2837" s="18" t="s">
        <v>1403</v>
      </c>
      <c r="C2837" s="19">
        <v>11702196200509</v>
      </c>
      <c r="D2837" s="20">
        <f>1708017.66/1000</f>
        <v>1708.01766</v>
      </c>
      <c r="E2837" s="20"/>
    </row>
    <row r="2838" spans="1:5">
      <c r="A2838" s="17">
        <v>11</v>
      </c>
      <c r="B2838" s="18" t="s">
        <v>1088</v>
      </c>
      <c r="C2838" s="19">
        <v>20703199500938</v>
      </c>
      <c r="D2838" s="20">
        <f>1510165.51/1000</f>
        <v>1510.16551</v>
      </c>
      <c r="E2838" s="20"/>
    </row>
    <row r="2839" spans="1:5">
      <c r="A2839" s="17">
        <v>12</v>
      </c>
      <c r="B2839" s="18" t="s">
        <v>1025</v>
      </c>
      <c r="C2839" s="19">
        <v>10310198401877</v>
      </c>
      <c r="D2839" s="20">
        <f>1460132.84/1000</f>
        <v>1460.13284</v>
      </c>
      <c r="E2839" s="20"/>
    </row>
    <row r="2840" spans="1:5">
      <c r="A2840" s="17">
        <v>13</v>
      </c>
      <c r="B2840" s="18" t="s">
        <v>2847</v>
      </c>
      <c r="C2840" s="19">
        <v>1006199710022</v>
      </c>
      <c r="D2840" s="20">
        <f>1075956.6/1000</f>
        <v>1075.9566</v>
      </c>
      <c r="E2840" s="20"/>
    </row>
    <row r="2841" spans="1:5">
      <c r="A2841" s="17">
        <v>14</v>
      </c>
      <c r="B2841" s="18" t="s">
        <v>1404</v>
      </c>
      <c r="C2841" s="19">
        <v>20804195210035</v>
      </c>
      <c r="D2841" s="20">
        <f>1019107.69/1000</f>
        <v>1019.1076899999999</v>
      </c>
      <c r="E2841" s="20"/>
    </row>
    <row r="2842" spans="1:5">
      <c r="A2842" s="17">
        <v>15</v>
      </c>
      <c r="B2842" s="18" t="s">
        <v>645</v>
      </c>
      <c r="C2842" s="19">
        <v>10803198301645</v>
      </c>
      <c r="D2842" s="20">
        <f>812322/1000</f>
        <v>812.322</v>
      </c>
      <c r="E2842" s="20"/>
    </row>
    <row r="2843" spans="1:5">
      <c r="A2843" s="17">
        <v>16</v>
      </c>
      <c r="B2843" s="18" t="s">
        <v>1406</v>
      </c>
      <c r="C2843" s="19">
        <v>20101198901090</v>
      </c>
      <c r="D2843" s="20">
        <f>789494.64/1000</f>
        <v>789.49464</v>
      </c>
      <c r="E2843" s="20"/>
    </row>
    <row r="2844" spans="1:5">
      <c r="A2844" s="17">
        <v>17</v>
      </c>
      <c r="B2844" s="18" t="s">
        <v>643</v>
      </c>
      <c r="C2844" s="19">
        <v>21602196500687</v>
      </c>
      <c r="D2844" s="20">
        <f>726413.04/1000</f>
        <v>726.41304000000002</v>
      </c>
      <c r="E2844" s="20"/>
    </row>
    <row r="2845" spans="1:5">
      <c r="A2845" s="17">
        <v>18</v>
      </c>
      <c r="B2845" s="18" t="s">
        <v>1405</v>
      </c>
      <c r="C2845" s="19">
        <v>21403198500505</v>
      </c>
      <c r="D2845" s="20">
        <f>640000/1000</f>
        <v>640</v>
      </c>
      <c r="E2845" s="20"/>
    </row>
    <row r="2846" spans="1:5">
      <c r="A2846" s="17">
        <v>19</v>
      </c>
      <c r="B2846" s="18" t="s">
        <v>642</v>
      </c>
      <c r="C2846" s="19">
        <v>2003201310038</v>
      </c>
      <c r="D2846" s="20">
        <f>616243.06/1000</f>
        <v>616.24306000000001</v>
      </c>
      <c r="E2846" s="20"/>
    </row>
    <row r="2847" spans="1:5">
      <c r="A2847" s="17">
        <v>20</v>
      </c>
      <c r="B2847" s="18" t="s">
        <v>2296</v>
      </c>
      <c r="C2847" s="19">
        <v>2309201310018</v>
      </c>
      <c r="D2847" s="20">
        <f>588569.58/1000</f>
        <v>588.56957999999997</v>
      </c>
      <c r="E2847" s="20"/>
    </row>
    <row r="2848" spans="1:5">
      <c r="A2848" s="17">
        <v>21</v>
      </c>
      <c r="B2848" s="18" t="s">
        <v>1407</v>
      </c>
      <c r="C2848" s="19">
        <v>22308197300981</v>
      </c>
      <c r="D2848" s="20">
        <f>565025/1000</f>
        <v>565.02499999999998</v>
      </c>
      <c r="E2848" s="20"/>
    </row>
    <row r="2849" spans="1:5">
      <c r="A2849" s="17">
        <v>22</v>
      </c>
      <c r="B2849" s="18" t="s">
        <v>1408</v>
      </c>
      <c r="C2849" s="19">
        <v>2802201710170</v>
      </c>
      <c r="D2849" s="20">
        <f>561934/1000</f>
        <v>561.93399999999997</v>
      </c>
      <c r="E2849" s="20"/>
    </row>
    <row r="2850" spans="1:5">
      <c r="A2850" s="17">
        <v>23</v>
      </c>
      <c r="B2850" s="18" t="s">
        <v>1599</v>
      </c>
      <c r="C2850" s="19" t="s">
        <v>1598</v>
      </c>
      <c r="D2850" s="20"/>
      <c r="E2850" s="20">
        <v>966.45988999999997</v>
      </c>
    </row>
    <row r="2851" spans="1:5" ht="31.5">
      <c r="A2851" s="17">
        <v>24</v>
      </c>
      <c r="B2851" s="18" t="s">
        <v>2849</v>
      </c>
      <c r="C2851" s="19" t="s">
        <v>2848</v>
      </c>
      <c r="D2851" s="20"/>
      <c r="E2851" s="20">
        <v>565.0410599999999</v>
      </c>
    </row>
    <row r="2852" spans="1:5" s="16" customFormat="1">
      <c r="A2852" s="40"/>
      <c r="B2852" s="25" t="s">
        <v>2</v>
      </c>
      <c r="C2852" s="27"/>
      <c r="D2852" s="35">
        <f>SUM(D2828:D2851)</f>
        <v>119694.37765000001</v>
      </c>
      <c r="E2852" s="35">
        <f>SUM(E2828:E2851)</f>
        <v>267705.70095000003</v>
      </c>
    </row>
    <row r="2853" spans="1:5">
      <c r="A2853" s="5" t="s">
        <v>15</v>
      </c>
      <c r="B2853" s="6"/>
      <c r="C2853" s="6"/>
      <c r="D2853" s="6"/>
      <c r="E2853" s="7"/>
    </row>
    <row r="2854" spans="1:5">
      <c r="A2854" s="17">
        <v>1</v>
      </c>
      <c r="B2854" s="18" t="s">
        <v>2295</v>
      </c>
      <c r="C2854" s="19">
        <v>21510196400793</v>
      </c>
      <c r="D2854" s="20">
        <f>52985510.28/1000</f>
        <v>52985.510280000002</v>
      </c>
      <c r="E2854" s="20"/>
    </row>
    <row r="2855" spans="1:5">
      <c r="A2855" s="17">
        <v>2</v>
      </c>
      <c r="B2855" s="18" t="s">
        <v>2841</v>
      </c>
      <c r="C2855" s="19">
        <v>21209198600869</v>
      </c>
      <c r="D2855" s="20">
        <f>24365676.34/1000</f>
        <v>24365.676339999998</v>
      </c>
      <c r="E2855" s="20"/>
    </row>
    <row r="2856" spans="1:5">
      <c r="A2856" s="17">
        <v>3</v>
      </c>
      <c r="B2856" s="18" t="s">
        <v>1085</v>
      </c>
      <c r="C2856" s="19">
        <v>2307201810124</v>
      </c>
      <c r="D2856" s="20">
        <f>9109748.71/1000</f>
        <v>9109.7487100000017</v>
      </c>
      <c r="E2856" s="20"/>
    </row>
    <row r="2857" spans="1:5">
      <c r="A2857" s="17">
        <v>4</v>
      </c>
      <c r="B2857" s="18" t="s">
        <v>2843</v>
      </c>
      <c r="C2857" s="19">
        <v>402200210141</v>
      </c>
      <c r="D2857" s="20">
        <f>1164770/1000</f>
        <v>1164.77</v>
      </c>
      <c r="E2857" s="20"/>
    </row>
    <row r="2858" spans="1:5">
      <c r="A2858" s="17">
        <v>5</v>
      </c>
      <c r="B2858" s="18" t="s">
        <v>1845</v>
      </c>
      <c r="C2858" s="19">
        <v>2211201710262</v>
      </c>
      <c r="D2858" s="20">
        <f>793214.38/1000</f>
        <v>793.21438000000001</v>
      </c>
      <c r="E2858" s="20"/>
    </row>
    <row r="2859" spans="1:5">
      <c r="A2859" s="17">
        <v>6</v>
      </c>
      <c r="B2859" s="18" t="s">
        <v>1843</v>
      </c>
      <c r="C2859" s="19">
        <v>10407196900914</v>
      </c>
      <c r="D2859" s="20">
        <f>676179.06/1000</f>
        <v>676.17906000000005</v>
      </c>
      <c r="E2859" s="20"/>
    </row>
    <row r="2860" spans="1:5">
      <c r="A2860" s="17">
        <v>7</v>
      </c>
      <c r="B2860" s="18" t="s">
        <v>2842</v>
      </c>
      <c r="C2860" s="19">
        <v>20101195401769</v>
      </c>
      <c r="D2860" s="20">
        <f>618298.04/1000</f>
        <v>618.29804000000001</v>
      </c>
      <c r="E2860" s="20"/>
    </row>
    <row r="2861" spans="1:5">
      <c r="A2861" s="17">
        <v>8</v>
      </c>
      <c r="B2861" s="18" t="s">
        <v>1895</v>
      </c>
      <c r="C2861" s="19" t="s">
        <v>1597</v>
      </c>
      <c r="D2861" s="20"/>
      <c r="E2861" s="20">
        <v>1057.7</v>
      </c>
    </row>
    <row r="2862" spans="1:5">
      <c r="A2862" s="17"/>
      <c r="B2862" s="25" t="s">
        <v>2</v>
      </c>
      <c r="C2862" s="34"/>
      <c r="D2862" s="35">
        <f>SUM(D2854:D2861)</f>
        <v>89713.396809999991</v>
      </c>
      <c r="E2862" s="35">
        <f>SUM(E2854:E2861)</f>
        <v>1057.7</v>
      </c>
    </row>
    <row r="2863" spans="1:5">
      <c r="A2863" s="5" t="s">
        <v>519</v>
      </c>
      <c r="B2863" s="6"/>
      <c r="C2863" s="6"/>
      <c r="D2863" s="6"/>
      <c r="E2863" s="7"/>
    </row>
    <row r="2864" spans="1:5">
      <c r="A2864" s="17">
        <v>1</v>
      </c>
      <c r="B2864" s="18" t="s">
        <v>1402</v>
      </c>
      <c r="C2864" s="19">
        <v>22506195010033</v>
      </c>
      <c r="D2864" s="20">
        <f>3115973.25/1000</f>
        <v>3115.97325</v>
      </c>
      <c r="E2864" s="20"/>
    </row>
    <row r="2865" spans="1:5">
      <c r="A2865" s="17">
        <v>2</v>
      </c>
      <c r="B2865" s="18" t="s">
        <v>567</v>
      </c>
      <c r="C2865" s="19">
        <v>21112198300624</v>
      </c>
      <c r="D2865" s="20">
        <f>852351.27/1000</f>
        <v>852.35127</v>
      </c>
      <c r="E2865" s="20"/>
    </row>
    <row r="2866" spans="1:5">
      <c r="A2866" s="17"/>
      <c r="B2866" s="25" t="s">
        <v>2</v>
      </c>
      <c r="C2866" s="34"/>
      <c r="D2866" s="35">
        <f>SUM(D2864:D2865)</f>
        <v>3968.3245200000001</v>
      </c>
      <c r="E2866" s="35">
        <f>SUM(E2864:E2865)</f>
        <v>0</v>
      </c>
    </row>
    <row r="2867" spans="1:5">
      <c r="A2867" s="5" t="s">
        <v>39</v>
      </c>
      <c r="B2867" s="6"/>
      <c r="C2867" s="6"/>
      <c r="D2867" s="6"/>
      <c r="E2867" s="7"/>
    </row>
    <row r="2868" spans="1:5">
      <c r="A2868" s="17">
        <v>1</v>
      </c>
      <c r="B2868" s="18" t="s">
        <v>2293</v>
      </c>
      <c r="C2868" s="19">
        <v>509201210100</v>
      </c>
      <c r="D2868" s="20">
        <f>9739764.12/1000</f>
        <v>9739.7641199999998</v>
      </c>
      <c r="E2868" s="20"/>
    </row>
    <row r="2869" spans="1:5">
      <c r="A2869" s="17">
        <v>2</v>
      </c>
      <c r="B2869" s="18" t="s">
        <v>1090</v>
      </c>
      <c r="C2869" s="19">
        <v>511201810189</v>
      </c>
      <c r="D2869" s="20">
        <f>3624552.35/1000</f>
        <v>3624.5523499999999</v>
      </c>
      <c r="E2869" s="20"/>
    </row>
    <row r="2870" spans="1:5">
      <c r="A2870" s="17">
        <v>3</v>
      </c>
      <c r="B2870" s="18" t="s">
        <v>1400</v>
      </c>
      <c r="C2870" s="19">
        <v>22611198501164</v>
      </c>
      <c r="D2870" s="20">
        <f>3227878.49/1000</f>
        <v>3227.8784900000001</v>
      </c>
      <c r="E2870" s="20"/>
    </row>
    <row r="2871" spans="1:5">
      <c r="A2871" s="17">
        <v>4</v>
      </c>
      <c r="B2871" s="18" t="s">
        <v>2840</v>
      </c>
      <c r="C2871" s="19">
        <v>1010199510032</v>
      </c>
      <c r="D2871" s="20">
        <f>2983033.42/1000</f>
        <v>2983.0334199999998</v>
      </c>
      <c r="E2871" s="20">
        <v>967.6</v>
      </c>
    </row>
    <row r="2872" spans="1:5">
      <c r="A2872" s="17">
        <v>5</v>
      </c>
      <c r="B2872" s="18" t="s">
        <v>1844</v>
      </c>
      <c r="C2872" s="19">
        <v>21508198301136</v>
      </c>
      <c r="D2872" s="20">
        <f>2398079.93/1000</f>
        <v>2398.0799300000003</v>
      </c>
      <c r="E2872" s="20"/>
    </row>
    <row r="2873" spans="1:5">
      <c r="A2873" s="17">
        <v>6</v>
      </c>
      <c r="B2873" s="18" t="s">
        <v>584</v>
      </c>
      <c r="C2873" s="19">
        <v>21306198601642</v>
      </c>
      <c r="D2873" s="20">
        <f>2355014/1000</f>
        <v>2355.0140000000001</v>
      </c>
      <c r="E2873" s="20"/>
    </row>
    <row r="2874" spans="1:5">
      <c r="A2874" s="17">
        <v>7</v>
      </c>
      <c r="B2874" s="18" t="s">
        <v>585</v>
      </c>
      <c r="C2874" s="19">
        <v>23005196300717</v>
      </c>
      <c r="D2874" s="20">
        <f>1031732.82/1000</f>
        <v>1031.7328199999999</v>
      </c>
      <c r="E2874" s="20"/>
    </row>
    <row r="2875" spans="1:5">
      <c r="A2875" s="17">
        <v>8</v>
      </c>
      <c r="B2875" s="18" t="s">
        <v>1089</v>
      </c>
      <c r="C2875" s="19">
        <v>409201910118</v>
      </c>
      <c r="D2875" s="20">
        <f>918137/1000</f>
        <v>918.13699999999994</v>
      </c>
      <c r="E2875" s="20"/>
    </row>
    <row r="2876" spans="1:5">
      <c r="A2876" s="17">
        <v>9</v>
      </c>
      <c r="B2876" s="18" t="s">
        <v>1401</v>
      </c>
      <c r="C2876" s="19">
        <v>3009201610067</v>
      </c>
      <c r="D2876" s="20">
        <f>569970.43/1000</f>
        <v>569.97043000000008</v>
      </c>
      <c r="E2876" s="20"/>
    </row>
    <row r="2877" spans="1:5">
      <c r="A2877" s="17">
        <v>10</v>
      </c>
      <c r="B2877" s="18" t="s">
        <v>2294</v>
      </c>
      <c r="C2877" s="19">
        <v>912202010290</v>
      </c>
      <c r="D2877" s="20">
        <f>526762.11/1000</f>
        <v>526.76211000000001</v>
      </c>
      <c r="E2877" s="20"/>
    </row>
    <row r="2878" spans="1:5">
      <c r="A2878" s="40"/>
      <c r="B2878" s="25" t="s">
        <v>2</v>
      </c>
      <c r="C2878" s="27"/>
      <c r="D2878" s="35">
        <f>SUM(D2868:D2877)</f>
        <v>27374.92467</v>
      </c>
      <c r="E2878" s="35">
        <f>SUM(E2868:E2877)</f>
        <v>967.6</v>
      </c>
    </row>
    <row r="2879" spans="1:5">
      <c r="A2879" s="5" t="s">
        <v>426</v>
      </c>
      <c r="B2879" s="6"/>
      <c r="C2879" s="6"/>
      <c r="D2879" s="6"/>
      <c r="E2879" s="7"/>
    </row>
    <row r="2880" spans="1:5">
      <c r="A2880" s="17">
        <v>1</v>
      </c>
      <c r="B2880" s="18" t="s">
        <v>2837</v>
      </c>
      <c r="C2880" s="19">
        <v>1205202310130</v>
      </c>
      <c r="D2880" s="20">
        <f>2700868.64/1000</f>
        <v>2700.8686400000001</v>
      </c>
      <c r="E2880" s="20"/>
    </row>
    <row r="2881" spans="1:5">
      <c r="A2881" s="17">
        <v>2</v>
      </c>
      <c r="B2881" s="18" t="s">
        <v>1030</v>
      </c>
      <c r="C2881" s="19">
        <v>21107198401492</v>
      </c>
      <c r="D2881" s="20">
        <f>576832.64/1000</f>
        <v>576.83263999999997</v>
      </c>
      <c r="E2881" s="20"/>
    </row>
    <row r="2882" spans="1:5">
      <c r="A2882" s="17">
        <v>3</v>
      </c>
      <c r="B2882" s="18" t="s">
        <v>2839</v>
      </c>
      <c r="C2882" s="19" t="s">
        <v>2838</v>
      </c>
      <c r="D2882" s="20"/>
      <c r="E2882" s="20">
        <v>532</v>
      </c>
    </row>
    <row r="2883" spans="1:5" s="16" customFormat="1">
      <c r="A2883" s="40"/>
      <c r="B2883" s="25" t="s">
        <v>2</v>
      </c>
      <c r="C2883" s="27"/>
      <c r="D2883" s="35">
        <f>SUM(D2880:D2882)</f>
        <v>3277.7012800000002</v>
      </c>
      <c r="E2883" s="35">
        <f>SUM(E2880:E2882)</f>
        <v>532</v>
      </c>
    </row>
    <row r="2884" spans="1:5" s="16" customFormat="1">
      <c r="A2884" s="40"/>
      <c r="B2884" s="2" t="s">
        <v>524</v>
      </c>
      <c r="C2884" s="3"/>
      <c r="D2884" s="35">
        <f>D399+D828+D1201+D1582+D1591+D1609+D1614+D1725+D1785+D1796+D1821+D1883+D1914+D1923+D1977+D2003+D2007+D2011+D2035+D2044+D2050+D2064+D2088+D2124+D2131+D2152+D2191+D2201+D2246+D2270+D2287+D2291+D2314+D2322+D2334+D2490+D2495+D2556+D2578+D2581+D2619+D2622+D2636+D2699+D2706+D2711+D2719+D2730+D2734+D2745+D2756+D2762+D2775+D2819+D2826+D2852+D2862+D2866+D2878+D2883</f>
        <v>47544647.610390037</v>
      </c>
      <c r="E2884" s="35">
        <f>E399+E828+E1201+E1582+E1591+E1609+E1614+E1725+E1785+E1796+E1821+E1883+E1914+E1923+E1977+E2003+E2007+E2011+E2035+E2044+E2050+E2064+E2088+E2124+E2131+E2152+E2191+E2201+E2246+E2270+E2287+E2291+E2314+E2322+E2334+E2490+E2495+E2556+E2578+E2581+E2619+E2622+E2636+E2699+E2706+E2711+E2719+E2730+E2734+E2745+E2756+E2762+E2775+E2819+E2826+E2852+E2862+E2866+E2878+E2883</f>
        <v>2103286.7551200008</v>
      </c>
    </row>
    <row r="2885" spans="1:5">
      <c r="B2885" s="46"/>
      <c r="D2885" s="48"/>
    </row>
    <row r="2886" spans="1:5">
      <c r="B2886" s="46"/>
      <c r="D2886" s="48"/>
    </row>
    <row r="2887" spans="1:5" s="49" customFormat="1">
      <c r="A2887" s="15"/>
      <c r="B2887" s="46"/>
      <c r="C2887" s="47"/>
      <c r="D2887" s="48"/>
      <c r="E2887" s="48"/>
    </row>
    <row r="2888" spans="1:5">
      <c r="B2888" s="50" t="s">
        <v>1878</v>
      </c>
      <c r="C2888" s="51" t="s">
        <v>1879</v>
      </c>
    </row>
    <row r="2890" spans="1:5">
      <c r="D2890" s="48"/>
    </row>
    <row r="2894" spans="1:5">
      <c r="D2894" s="48"/>
    </row>
  </sheetData>
  <mergeCells count="66">
    <mergeCell ref="A2153:E2153"/>
    <mergeCell ref="A1583:E1583"/>
    <mergeCell ref="A1:E2"/>
    <mergeCell ref="A3:A4"/>
    <mergeCell ref="B3:B4"/>
    <mergeCell ref="C3:C4"/>
    <mergeCell ref="D3:E3"/>
    <mergeCell ref="A1915:E1915"/>
    <mergeCell ref="A5:E5"/>
    <mergeCell ref="A400:E400"/>
    <mergeCell ref="A829:E829"/>
    <mergeCell ref="A1202:E1202"/>
    <mergeCell ref="A1592:E1592"/>
    <mergeCell ref="A1615:E1615"/>
    <mergeCell ref="A1726:E1726"/>
    <mergeCell ref="A1786:E1786"/>
    <mergeCell ref="A2712:E2712"/>
    <mergeCell ref="A1797:E1797"/>
    <mergeCell ref="A1822:E1822"/>
    <mergeCell ref="A1884:E1884"/>
    <mergeCell ref="A2132:E2132"/>
    <mergeCell ref="A1924:E1924"/>
    <mergeCell ref="A1978:E1978"/>
    <mergeCell ref="A2004:E2004"/>
    <mergeCell ref="A2008:E2008"/>
    <mergeCell ref="A2012:E2012"/>
    <mergeCell ref="A2036:E2036"/>
    <mergeCell ref="A2045:E2045"/>
    <mergeCell ref="A2051:E2051"/>
    <mergeCell ref="A2065:E2065"/>
    <mergeCell ref="A2089:E2089"/>
    <mergeCell ref="A2125:E2125"/>
    <mergeCell ref="A2335:E2335"/>
    <mergeCell ref="A2496:E2496"/>
    <mergeCell ref="A2557:E2557"/>
    <mergeCell ref="A2491:E2491"/>
    <mergeCell ref="A2707:E2707"/>
    <mergeCell ref="A2271:E2271"/>
    <mergeCell ref="A2288:E2288"/>
    <mergeCell ref="A2292:E2292"/>
    <mergeCell ref="A2315:E2315"/>
    <mergeCell ref="A2323:E2323"/>
    <mergeCell ref="A2720:E2720"/>
    <mergeCell ref="A2731:E2731"/>
    <mergeCell ref="A2735:E2735"/>
    <mergeCell ref="A1610:E1610"/>
    <mergeCell ref="A2867:E2867"/>
    <mergeCell ref="A2757:E2757"/>
    <mergeCell ref="A2582:E2582"/>
    <mergeCell ref="A2620:E2620"/>
    <mergeCell ref="A2623:E2623"/>
    <mergeCell ref="A2637:E2637"/>
    <mergeCell ref="A2700:E2700"/>
    <mergeCell ref="A2746:E2746"/>
    <mergeCell ref="A2579:E2579"/>
    <mergeCell ref="A2192:E2192"/>
    <mergeCell ref="A2202:E2202"/>
    <mergeCell ref="A2247:E2247"/>
    <mergeCell ref="A2879:E2879"/>
    <mergeCell ref="B2884:C2884"/>
    <mergeCell ref="A2763:E2763"/>
    <mergeCell ref="A2776:E2776"/>
    <mergeCell ref="A2820:E2820"/>
    <mergeCell ref="A2827:E2827"/>
    <mergeCell ref="A2853:E2853"/>
    <mergeCell ref="A2863:E2863"/>
  </mergeCells>
  <phoneticPr fontId="41" type="noConversion"/>
  <pageMargins left="0" right="0" top="0" bottom="0" header="0" footer="0"/>
  <pageSetup paperSize="9" scale="53" fitToHeight="0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01.03.2024 </vt:lpstr>
      <vt:lpstr>'01.03.2024 '!Заголовки_для_печати</vt:lpstr>
      <vt:lpstr>'01.03.2024 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ГНИ</dc:creator>
  <cp:lastModifiedBy>ГНС</cp:lastModifiedBy>
  <cp:lastPrinted>2023-11-29T08:29:53Z</cp:lastPrinted>
  <dcterms:created xsi:type="dcterms:W3CDTF">2015-03-17T09:06:07Z</dcterms:created>
  <dcterms:modified xsi:type="dcterms:W3CDTF">2024-04-04T15:32:27Z</dcterms:modified>
</cp:coreProperties>
</file>